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y\Desktop\"/>
    </mc:Choice>
  </mc:AlternateContent>
  <bookViews>
    <workbookView xWindow="0" yWindow="0" windowWidth="28800" windowHeight="12135"/>
  </bookViews>
  <sheets>
    <sheet name="2026년 산출내역서(2명)" sheetId="13" r:id="rId1"/>
    <sheet name="Sheet2" sheetId="7" state="hidden" r:id="rId2"/>
    <sheet name="요령안 기본급200" sheetId="5" state="hidden" r:id="rId3"/>
    <sheet name="최저시급" sheetId="3" state="hidden" r:id="rId4"/>
    <sheet name="Sheet3" sheetId="4" state="hidden" r:id="rId5"/>
  </sheets>
  <definedNames>
    <definedName name="_xlnm.Print_Area" localSheetId="0">'2026년 산출내역서(2명)'!$A$1:$J$47</definedName>
  </definedNames>
  <calcPr calcId="162913"/>
</workbook>
</file>

<file path=xl/calcChain.xml><?xml version="1.0" encoding="utf-8"?>
<calcChain xmlns="http://schemas.openxmlformats.org/spreadsheetml/2006/main">
  <c r="J4" i="13" l="1"/>
  <c r="E31" i="13"/>
  <c r="E26" i="13"/>
  <c r="E25" i="13"/>
  <c r="E27" i="13"/>
  <c r="D7" i="13"/>
  <c r="D6" i="13"/>
  <c r="H42" i="13" l="1"/>
  <c r="H39" i="13"/>
  <c r="H21" i="13"/>
  <c r="H24" i="13" s="1"/>
  <c r="F42" i="13"/>
  <c r="F39" i="13"/>
  <c r="F13" i="13"/>
  <c r="F21" i="13" s="1"/>
  <c r="F24" i="13" s="1"/>
  <c r="F31" i="13" l="1"/>
  <c r="F27" i="13"/>
  <c r="F25" i="13"/>
  <c r="F26" i="13" s="1"/>
  <c r="F28" i="13"/>
  <c r="F29" i="13"/>
  <c r="F30" i="13"/>
  <c r="E13" i="13"/>
  <c r="E21" i="13" s="1"/>
  <c r="G13" i="13"/>
  <c r="G21" i="13" s="1"/>
  <c r="H33" i="13" l="1"/>
  <c r="H34" i="13" s="1"/>
  <c r="H43" i="13" s="1"/>
  <c r="F33" i="13"/>
  <c r="F34" i="13" s="1"/>
  <c r="F43" i="13" s="1"/>
  <c r="G42" i="13"/>
  <c r="E42" i="13"/>
  <c r="G39" i="13"/>
  <c r="E39" i="13"/>
  <c r="G24" i="13"/>
  <c r="E24" i="13"/>
  <c r="H44" i="13" l="1"/>
  <c r="H45" i="13" s="1"/>
  <c r="F44" i="13"/>
  <c r="F45" i="13" s="1"/>
  <c r="E28" i="13"/>
  <c r="E30" i="13"/>
  <c r="E29" i="13"/>
  <c r="H46" i="13" l="1"/>
  <c r="H47" i="13" s="1"/>
  <c r="F46" i="13"/>
  <c r="F47" i="13" s="1"/>
  <c r="C5" i="13" s="1"/>
  <c r="D5" i="13" s="1"/>
  <c r="G33" i="13"/>
  <c r="G34" i="13" s="1"/>
  <c r="G43" i="13" s="1"/>
  <c r="G44" i="13" s="1"/>
  <c r="G45" i="13" s="1"/>
  <c r="E33" i="13"/>
  <c r="E34" i="13" s="1"/>
  <c r="E43" i="13" s="1"/>
  <c r="E44" i="13" l="1"/>
  <c r="E45" i="13" s="1"/>
  <c r="G46" i="13"/>
  <c r="G47" i="13" s="1"/>
  <c r="C6" i="13" s="1"/>
  <c r="E6" i="13" l="1"/>
  <c r="H6" i="13" s="1"/>
  <c r="E46" i="13"/>
  <c r="E47" i="13" s="1"/>
  <c r="C4" i="13" s="1"/>
  <c r="D4" i="13" s="1"/>
  <c r="E5" i="13" s="1"/>
  <c r="H5" i="13" s="1"/>
  <c r="C7" i="13"/>
  <c r="E4" i="13" l="1"/>
  <c r="H4" i="13" s="1"/>
  <c r="E7" i="13"/>
  <c r="H7" i="13" s="1"/>
  <c r="F12" i="3" l="1"/>
  <c r="F16" i="3" s="1"/>
  <c r="E12" i="3"/>
  <c r="E16" i="3" s="1"/>
  <c r="C17" i="7"/>
  <c r="E18" i="3" l="1"/>
  <c r="E19" i="3" s="1"/>
  <c r="F18" i="3"/>
  <c r="F19" i="3" s="1"/>
  <c r="F36" i="5"/>
  <c r="E36" i="5"/>
  <c r="E14" i="5"/>
  <c r="F14" i="5"/>
  <c r="H20" i="3" l="1"/>
  <c r="F16" i="5"/>
  <c r="F17" i="5" s="1"/>
  <c r="F18" i="5" s="1"/>
  <c r="E16" i="5"/>
  <c r="E17" i="5" s="1"/>
  <c r="E18" i="5" s="1"/>
  <c r="E26" i="5" s="1"/>
  <c r="F25" i="5" l="1"/>
  <c r="F26" i="5"/>
  <c r="E27" i="5"/>
  <c r="E24" i="5"/>
  <c r="E28" i="5"/>
  <c r="E25" i="5"/>
  <c r="E22" i="5"/>
  <c r="F27" i="5"/>
  <c r="F20" i="5"/>
  <c r="F22" i="5"/>
  <c r="F24" i="5"/>
  <c r="F28" i="5"/>
  <c r="F21" i="5"/>
  <c r="E20" i="5"/>
  <c r="E21" i="5" s="1"/>
  <c r="E23" i="5" l="1"/>
  <c r="E30" i="5" s="1"/>
  <c r="E31" i="5" s="1"/>
  <c r="E37" i="5" s="1"/>
  <c r="F23" i="5"/>
  <c r="F30" i="5" s="1"/>
  <c r="F31" i="5" s="1"/>
  <c r="F37" i="5" s="1"/>
  <c r="F38" i="5" l="1"/>
  <c r="F39" i="5" s="1"/>
  <c r="F40" i="5" s="1"/>
  <c r="F41" i="5" s="1"/>
  <c r="C3" i="5" s="1"/>
  <c r="D3" i="5" s="1"/>
  <c r="E38" i="5"/>
  <c r="E39" i="5" s="1"/>
  <c r="E3" i="5" l="1"/>
  <c r="F3" i="5" s="1"/>
  <c r="E40" i="5"/>
  <c r="E41" i="5" s="1"/>
  <c r="C2" i="5" s="1"/>
  <c r="D2" i="5" s="1"/>
  <c r="E2" i="5" l="1"/>
  <c r="F2" i="5" s="1"/>
  <c r="G2" i="5" s="1"/>
  <c r="H2" i="5" s="1"/>
  <c r="I2" i="5" s="1"/>
</calcChain>
</file>

<file path=xl/sharedStrings.xml><?xml version="1.0" encoding="utf-8"?>
<sst xmlns="http://schemas.openxmlformats.org/spreadsheetml/2006/main" count="340" uniqueCount="176">
  <si>
    <t>직책수당</t>
  </si>
  <si>
    <t>조정수당</t>
  </si>
  <si>
    <t>휴일수당</t>
  </si>
  <si>
    <t>-</t>
  </si>
  <si>
    <t>비고</t>
  </si>
  <si>
    <t>인원</t>
  </si>
  <si>
    <t>공급가</t>
  </si>
  <si>
    <t>V.A.T</t>
  </si>
  <si>
    <t>합계</t>
  </si>
  <si>
    <t>미화</t>
  </si>
  <si>
    <t>구분</t>
  </si>
  <si>
    <t>산출내역</t>
  </si>
  <si>
    <t>근로시간</t>
  </si>
  <si>
    <t>주5일, 한달 4.345주</t>
  </si>
  <si>
    <t>시급</t>
  </si>
  <si>
    <t>2020년 최저시급 8,590</t>
  </si>
  <si>
    <t>올해 적용시급 9,000원</t>
  </si>
  <si>
    <t>직 접 비</t>
  </si>
  <si>
    <t>고정급여</t>
  </si>
  <si>
    <t>기본급</t>
  </si>
  <si>
    <t>상여금</t>
  </si>
  <si>
    <t>기본급의 년 200%을 월할 산정</t>
  </si>
  <si>
    <t>소계</t>
  </si>
  <si>
    <t>법정수당</t>
  </si>
  <si>
    <t>근로자의날수당</t>
  </si>
  <si>
    <t>(적용시급*8*150%)/12</t>
  </si>
  <si>
    <t>급여계</t>
  </si>
  <si>
    <t>급여+수당</t>
  </si>
  <si>
    <t>연차수당</t>
  </si>
  <si>
    <t>(통상임금/209시간*8시간*15일)/12</t>
  </si>
  <si>
    <t>연차 소진 원칙</t>
  </si>
  <si>
    <t>퇴직충당금</t>
  </si>
  <si>
    <t>급여계/12</t>
  </si>
  <si>
    <t>발생시 별도청구</t>
  </si>
  <si>
    <t>간 접 비</t>
  </si>
  <si>
    <t>보험</t>
  </si>
  <si>
    <t>건강보험료</t>
  </si>
  <si>
    <t>월평균급여*3.335%</t>
  </si>
  <si>
    <t>2020년도 적용요율</t>
  </si>
  <si>
    <t>노인장기요양보험료</t>
  </si>
  <si>
    <t>건강보험료*10.25%</t>
  </si>
  <si>
    <t>국민연금</t>
  </si>
  <si>
    <t>월평균급여*4.5%</t>
  </si>
  <si>
    <t>고용보험</t>
  </si>
  <si>
    <t>월평균급여*1.5%</t>
  </si>
  <si>
    <t>업체기준(상시근로자 인원수 비례)</t>
  </si>
  <si>
    <t>산재보험</t>
  </si>
  <si>
    <t>월평균급여*1.56%</t>
  </si>
  <si>
    <t>도급사 산재보험요율적용-기타의 각종사업 기준</t>
  </si>
  <si>
    <t>사업소세</t>
  </si>
  <si>
    <t>월평균급여*0.5%</t>
  </si>
  <si>
    <t>임금채권보장기금</t>
  </si>
  <si>
    <t>월평균급여*0.08%</t>
  </si>
  <si>
    <t>산재보험료에 합산 납입</t>
  </si>
  <si>
    <t>장애인고용분담금</t>
  </si>
  <si>
    <t>상시근로자 1인당 평균18,750원</t>
  </si>
  <si>
    <t>장애인 고용촉진법 적용/필수 납부 세금임</t>
  </si>
  <si>
    <t>A.인건비 계 (직접인건비+간접인건비)</t>
  </si>
  <si>
    <t>복 리 후 생 비</t>
  </si>
  <si>
    <t>명절선물비</t>
  </si>
  <si>
    <t>1인 30,000원*년2회/12개월</t>
  </si>
  <si>
    <t>설,추석 등</t>
  </si>
  <si>
    <t>경조비</t>
  </si>
  <si>
    <t>1인 5,000원/월</t>
  </si>
  <si>
    <t>당사 내규(복리후생 기준)</t>
  </si>
  <si>
    <t>피복비</t>
  </si>
  <si>
    <t>1인 20,000원/월</t>
  </si>
  <si>
    <t>유니폼 및 두건등</t>
  </si>
  <si>
    <t>교육훈련비</t>
  </si>
  <si>
    <t>B.제경비 계</t>
  </si>
  <si>
    <t>C.소계(A+B)</t>
  </si>
  <si>
    <t>관리 비용</t>
  </si>
  <si>
    <t>일반관리비</t>
  </si>
  <si>
    <t>회의 및 포상비,경조비,파견직원 교육 및 관리비 등</t>
  </si>
  <si>
    <t>직원채용 및 배치,사무실관리비,기타제반비용</t>
  </si>
  <si>
    <t>D.관리비용 계</t>
  </si>
  <si>
    <t>E.합계(C+D) / 인당단가</t>
  </si>
  <si>
    <t>10단위 절사, 부가세별도</t>
  </si>
  <si>
    <t>운영사원(매니져)</t>
    <phoneticPr fontId="1" type="noConversion"/>
  </si>
  <si>
    <t>운영사원(판매원)</t>
    <phoneticPr fontId="1" type="noConversion"/>
  </si>
  <si>
    <t>C*4%</t>
    <phoneticPr fontId="1" type="noConversion"/>
  </si>
  <si>
    <t>(C+일반관리비)*7%</t>
    <phoneticPr fontId="1" type="noConversion"/>
  </si>
  <si>
    <t>일반이윤</t>
    <phoneticPr fontId="1" type="noConversion"/>
  </si>
  <si>
    <t>2020년 최저임금(8,590원) 대비 120.7% 수준</t>
    <phoneticPr fontId="1" type="noConversion"/>
  </si>
  <si>
    <t>2020년 농촌융복합산업 추진요령 기준(인증운영팀-84)</t>
    <phoneticPr fontId="1" type="noConversion"/>
  </si>
  <si>
    <t>사업비편성 운영기준안 참고</t>
    <phoneticPr fontId="1" type="noConversion"/>
  </si>
  <si>
    <t>요령안 기준 추후 적용예정</t>
    <phoneticPr fontId="1" type="noConversion"/>
  </si>
  <si>
    <t>매니져</t>
    <phoneticPr fontId="1" type="noConversion"/>
  </si>
  <si>
    <t>판매원</t>
    <phoneticPr fontId="1" type="noConversion"/>
  </si>
  <si>
    <t>(C+일반관리비)*10%</t>
    <phoneticPr fontId="1" type="noConversion"/>
  </si>
  <si>
    <t>C*5%</t>
    <phoneticPr fontId="1" type="noConversion"/>
  </si>
  <si>
    <t>산출액</t>
    <phoneticPr fontId="1" type="noConversion"/>
  </si>
  <si>
    <t>vat</t>
    <phoneticPr fontId="1" type="noConversion"/>
  </si>
  <si>
    <t>금액</t>
    <phoneticPr fontId="1" type="noConversion"/>
  </si>
  <si>
    <t>합계</t>
    <phoneticPr fontId="1" type="noConversion"/>
  </si>
  <si>
    <t>총액</t>
    <phoneticPr fontId="1" type="noConversion"/>
  </si>
  <si>
    <t xml:space="preserve">2020년 </t>
    <phoneticPr fontId="1" type="noConversion"/>
  </si>
  <si>
    <t>유급휴가</t>
    <phoneticPr fontId="1" type="noConversion"/>
  </si>
  <si>
    <t>주휴수당</t>
    <phoneticPr fontId="1" type="noConversion"/>
  </si>
  <si>
    <t>8시간</t>
    <phoneticPr fontId="1" type="noConversion"/>
  </si>
  <si>
    <t>주40시간 기준(주휴수당8시간포함)</t>
  </si>
  <si>
    <t>주5일(48시간), 한달 4.345주</t>
    <phoneticPr fontId="1" type="noConversion"/>
  </si>
  <si>
    <t>주40시간 기준(주휴수당8시간포함)</t>
    <phoneticPr fontId="1" type="noConversion"/>
  </si>
  <si>
    <t>구 분</t>
  </si>
  <si>
    <r>
      <t>금액</t>
    </r>
    <r>
      <rPr>
        <b/>
        <sz val="11"/>
        <color rgb="FF000000"/>
        <rFont val="경기천년바탕 Regular"/>
        <family val="1"/>
        <charset val="129"/>
      </rPr>
      <t>(</t>
    </r>
    <r>
      <rPr>
        <b/>
        <sz val="11"/>
        <color rgb="FF000000"/>
        <rFont val="맑은 고딕"/>
        <family val="3"/>
        <charset val="129"/>
        <scheme val="minor"/>
      </rPr>
      <t>원</t>
    </r>
    <r>
      <rPr>
        <b/>
        <sz val="11"/>
        <color rgb="FF000000"/>
        <rFont val="경기천년바탕 Regular"/>
        <family val="1"/>
        <charset val="129"/>
      </rPr>
      <t>)</t>
    </r>
  </si>
  <si>
    <t>지 출 처</t>
  </si>
  <si>
    <t>지 출 방 법</t>
  </si>
  <si>
    <t>운영대행료</t>
  </si>
  <si>
    <t>㈜한국유통화코드</t>
  </si>
  <si>
    <r>
      <t>(</t>
    </r>
    <r>
      <rPr>
        <sz val="11"/>
        <color rgb="FF000000"/>
        <rFont val="맑은 고딕"/>
        <family val="3"/>
        <charset val="129"/>
        <scheme val="minor"/>
      </rPr>
      <t>채병소</t>
    </r>
    <r>
      <rPr>
        <sz val="11"/>
        <color rgb="FF000000"/>
        <rFont val="경기천년바탕 Regular"/>
        <family val="1"/>
        <charset val="129"/>
      </rPr>
      <t>)</t>
    </r>
  </si>
  <si>
    <r>
      <t xml:space="preserve">무통장입금 </t>
    </r>
    <r>
      <rPr>
        <sz val="11"/>
        <color rgb="FF000000"/>
        <rFont val="경기천년바탕 Regular"/>
        <family val="1"/>
        <charset val="129"/>
      </rPr>
      <t xml:space="preserve">/ </t>
    </r>
    <r>
      <rPr>
        <sz val="11"/>
        <color rgb="FF000000"/>
        <rFont val="맑은 고딕"/>
        <family val="3"/>
        <charset val="129"/>
        <scheme val="minor"/>
      </rPr>
      <t xml:space="preserve">기업 </t>
    </r>
    <r>
      <rPr>
        <sz val="11"/>
        <color rgb="FF000000"/>
        <rFont val="경기천년바탕 Regular"/>
        <family val="1"/>
        <charset val="129"/>
      </rPr>
      <t>/ 140-009-698804</t>
    </r>
  </si>
  <si>
    <r>
      <t xml:space="preserve">eCtax </t>
    </r>
    <r>
      <rPr>
        <sz val="11"/>
        <color rgb="FF000000"/>
        <rFont val="맑은 고딕"/>
        <family val="3"/>
        <charset val="129"/>
        <scheme val="minor"/>
      </rPr>
      <t>사용료</t>
    </r>
  </si>
  <si>
    <t>신세계아이앤씨</t>
  </si>
  <si>
    <r>
      <t xml:space="preserve">무통장입금 </t>
    </r>
    <r>
      <rPr>
        <sz val="11"/>
        <color rgb="FF000000"/>
        <rFont val="경기천년바탕 Regular"/>
        <family val="1"/>
        <charset val="129"/>
      </rPr>
      <t xml:space="preserve">/ </t>
    </r>
    <r>
      <rPr>
        <sz val="11"/>
        <color rgb="FF000000"/>
        <rFont val="맑은 고딕"/>
        <family val="3"/>
        <charset val="129"/>
        <scheme val="minor"/>
      </rPr>
      <t xml:space="preserve">농협 </t>
    </r>
    <r>
      <rPr>
        <sz val="11"/>
        <color rgb="FF000000"/>
        <rFont val="경기천년바탕 Regular"/>
        <family val="1"/>
        <charset val="129"/>
      </rPr>
      <t>/ 79000114913992</t>
    </r>
  </si>
  <si>
    <t>진행요원</t>
  </si>
  <si>
    <r>
      <t>문은숙</t>
    </r>
    <r>
      <rPr>
        <sz val="11"/>
        <color rgb="FF000000"/>
        <rFont val="경기천년바탕 Regular"/>
        <family val="1"/>
        <charset val="129"/>
      </rPr>
      <t>(</t>
    </r>
    <r>
      <rPr>
        <sz val="11"/>
        <color rgb="FF000000"/>
        <rFont val="맑은 고딕"/>
        <family val="3"/>
        <charset val="129"/>
        <scheme val="minor"/>
      </rPr>
      <t>굿트리</t>
    </r>
    <r>
      <rPr>
        <sz val="11"/>
        <color rgb="FF000000"/>
        <rFont val="경기천년바탕 Regular"/>
        <family val="1"/>
        <charset val="129"/>
      </rPr>
      <t>)</t>
    </r>
  </si>
  <si>
    <r>
      <t xml:space="preserve">무통장입금 </t>
    </r>
    <r>
      <rPr>
        <sz val="11"/>
        <color rgb="FF000000"/>
        <rFont val="경기천년바탕 Regular"/>
        <family val="1"/>
        <charset val="129"/>
      </rPr>
      <t xml:space="preserve">/ </t>
    </r>
    <r>
      <rPr>
        <sz val="11"/>
        <color rgb="FF000000"/>
        <rFont val="맑은 고딕"/>
        <family val="3"/>
        <charset val="129"/>
        <scheme val="minor"/>
      </rPr>
      <t xml:space="preserve">국민 </t>
    </r>
    <r>
      <rPr>
        <sz val="11"/>
        <color rgb="FF000000"/>
        <rFont val="경기천년바탕 Regular"/>
        <family val="1"/>
        <charset val="129"/>
      </rPr>
      <t>/ 359301-04-146423</t>
    </r>
  </si>
  <si>
    <t>합 계</t>
  </si>
  <si>
    <t>지 급 처</t>
  </si>
  <si>
    <t>지 급 방 법</t>
  </si>
  <si>
    <r>
      <t>운영대행료</t>
    </r>
    <r>
      <rPr>
        <sz val="11"/>
        <color rgb="FF000000"/>
        <rFont val="경기천년바탕 Regular"/>
        <family val="1"/>
        <charset val="129"/>
      </rPr>
      <t>(1</t>
    </r>
    <r>
      <rPr>
        <sz val="11"/>
        <color rgb="FF000000"/>
        <rFont val="맑은 고딕"/>
        <family val="3"/>
        <charset val="129"/>
        <scheme val="minor"/>
      </rPr>
      <t>월분</t>
    </r>
    <r>
      <rPr>
        <sz val="11"/>
        <color rgb="FF000000"/>
        <rFont val="경기천년바탕 Regular"/>
        <family val="1"/>
        <charset val="129"/>
      </rPr>
      <t>)</t>
    </r>
  </si>
  <si>
    <t>박시윤</t>
  </si>
  <si>
    <r>
      <t>(</t>
    </r>
    <r>
      <rPr>
        <sz val="11"/>
        <color rgb="FF000000"/>
        <rFont val="맑은 고딕"/>
        <family val="3"/>
        <charset val="129"/>
        <scheme val="minor"/>
      </rPr>
      <t>케이엠이엔티</t>
    </r>
    <r>
      <rPr>
        <sz val="11"/>
        <color rgb="FF000000"/>
        <rFont val="경기천년바탕 Regular"/>
        <family val="1"/>
        <charset val="129"/>
      </rPr>
      <t>)</t>
    </r>
  </si>
  <si>
    <r>
      <t xml:space="preserve">계좌이체 </t>
    </r>
    <r>
      <rPr>
        <sz val="11"/>
        <color rgb="FF000000"/>
        <rFont val="경기천년바탕 Regular"/>
        <family val="1"/>
        <charset val="129"/>
      </rPr>
      <t xml:space="preserve">/ </t>
    </r>
    <r>
      <rPr>
        <sz val="11"/>
        <color rgb="FF000000"/>
        <rFont val="맑은 고딕"/>
        <family val="3"/>
        <charset val="129"/>
        <scheme val="minor"/>
      </rPr>
      <t xml:space="preserve">농협 </t>
    </r>
    <r>
      <rPr>
        <sz val="11"/>
        <color rgb="FF000000"/>
        <rFont val="경기천년바탕 Regular"/>
        <family val="1"/>
        <charset val="129"/>
      </rPr>
      <t>/ 301-2004-8251-91</t>
    </r>
  </si>
  <si>
    <r>
      <t>진행요원</t>
    </r>
    <r>
      <rPr>
        <sz val="11"/>
        <color rgb="FF000000"/>
        <rFont val="경기천년바탕 Regular"/>
        <family val="1"/>
        <charset val="129"/>
      </rPr>
      <t>(1</t>
    </r>
    <r>
      <rPr>
        <sz val="11"/>
        <color rgb="FF000000"/>
        <rFont val="맑은 고딕"/>
        <family val="3"/>
        <charset val="129"/>
        <scheme val="minor"/>
      </rPr>
      <t>월분</t>
    </r>
    <r>
      <rPr>
        <sz val="11"/>
        <color rgb="FF000000"/>
        <rFont val="경기천년바탕 Regular"/>
        <family val="1"/>
        <charset val="129"/>
      </rPr>
      <t>)</t>
    </r>
  </si>
  <si>
    <t>㈜송지에프엔티</t>
  </si>
  <si>
    <r>
      <t xml:space="preserve">계좌이체 </t>
    </r>
    <r>
      <rPr>
        <sz val="11"/>
        <color rgb="FF000000"/>
        <rFont val="경기천년바탕 Regular"/>
        <family val="1"/>
        <charset val="129"/>
      </rPr>
      <t xml:space="preserve">/ </t>
    </r>
    <r>
      <rPr>
        <sz val="11"/>
        <color rgb="FF000000"/>
        <rFont val="맑은 고딕"/>
        <family val="3"/>
        <charset val="129"/>
        <scheme val="minor"/>
      </rPr>
      <t xml:space="preserve">기업 </t>
    </r>
    <r>
      <rPr>
        <sz val="11"/>
        <color rgb="FF000000"/>
        <rFont val="경기천년바탕 Regular"/>
        <family val="1"/>
        <charset val="129"/>
      </rPr>
      <t>/ 114-156769-01-015</t>
    </r>
  </si>
  <si>
    <t>급여계/9</t>
    <phoneticPr fontId="1" type="noConversion"/>
  </si>
  <si>
    <t>주말판촉전</t>
    <phoneticPr fontId="1" type="noConversion"/>
  </si>
  <si>
    <t>F.합계(D+E) / 인당단가</t>
    <phoneticPr fontId="1" type="noConversion"/>
  </si>
  <si>
    <t>장기요양보험료</t>
    <phoneticPr fontId="1" type="noConversion"/>
  </si>
  <si>
    <t>금액</t>
    <phoneticPr fontId="1" type="noConversion"/>
  </si>
  <si>
    <t>부가세(vat)</t>
    <phoneticPr fontId="1" type="noConversion"/>
  </si>
  <si>
    <t>동탄</t>
    <phoneticPr fontId="1" type="noConversion"/>
  </si>
  <si>
    <t>(적용시급*8*150%)/9</t>
    <phoneticPr fontId="1" type="noConversion"/>
  </si>
  <si>
    <t>(통상임금/209시간*8시간*15일)/9</t>
    <phoneticPr fontId="1" type="noConversion"/>
  </si>
  <si>
    <t>월평균급여*1.65%</t>
    <phoneticPr fontId="1" type="noConversion"/>
  </si>
  <si>
    <t>산재보험요율적용-기타의 각종사업 기준</t>
    <phoneticPr fontId="1" type="noConversion"/>
  </si>
  <si>
    <t>1인 100,000원*년1회/9개월</t>
    <phoneticPr fontId="1" type="noConversion"/>
  </si>
  <si>
    <t>추석 등</t>
    <phoneticPr fontId="1" type="noConversion"/>
  </si>
  <si>
    <t>명절, 연말, 가정의달 판촉전 해당월 제외</t>
    <phoneticPr fontId="1" type="noConversion"/>
  </si>
  <si>
    <t>홍보물품 제작</t>
    <phoneticPr fontId="1" type="noConversion"/>
  </si>
  <si>
    <t>판촉전 개최시 홍보물품 제작</t>
    <phoneticPr fontId="1" type="noConversion"/>
  </si>
  <si>
    <t>C.판촉비 계</t>
    <phoneticPr fontId="1" type="noConversion"/>
  </si>
  <si>
    <t>D*5%</t>
    <phoneticPr fontId="1" type="noConversion"/>
  </si>
  <si>
    <t>회의 및 포상비,파견직원 교육 및 관리비 등</t>
    <phoneticPr fontId="1" type="noConversion"/>
  </si>
  <si>
    <t>일반이윤</t>
    <phoneticPr fontId="1" type="noConversion"/>
  </si>
  <si>
    <t>(D+일반관리비)*10%</t>
    <phoneticPr fontId="1" type="noConversion"/>
  </si>
  <si>
    <t>E.관리비용 계</t>
    <phoneticPr fontId="1" type="noConversion"/>
  </si>
  <si>
    <t>10단위 절사, 부가세별도</t>
    <phoneticPr fontId="1" type="noConversion"/>
  </si>
  <si>
    <t>고양</t>
    <phoneticPr fontId="1" type="noConversion"/>
  </si>
  <si>
    <t>사업비편성 운영 최저기준안 참고</t>
    <phoneticPr fontId="1" type="noConversion"/>
  </si>
  <si>
    <t>360,000원/10개월</t>
    <phoneticPr fontId="1" type="noConversion"/>
  </si>
  <si>
    <t>2,700,000원/10개월</t>
    <phoneticPr fontId="1" type="noConversion"/>
  </si>
  <si>
    <t>기존 근로자 직책수당 등 반영 가능</t>
    <phoneticPr fontId="1" type="noConversion"/>
  </si>
  <si>
    <t xml:space="preserve">2025년 </t>
    <phoneticPr fontId="1" type="noConversion"/>
  </si>
  <si>
    <t xml:space="preserve">2025년 경기도 생활임금(최저 12,152원) </t>
    <phoneticPr fontId="1" type="noConversion"/>
  </si>
  <si>
    <t>D.소계(A+B)</t>
    <phoneticPr fontId="1" type="noConversion"/>
  </si>
  <si>
    <t>단기 추가인력</t>
    <phoneticPr fontId="1" type="noConversion"/>
  </si>
  <si>
    <t>상시 근무 성과급</t>
    <phoneticPr fontId="1" type="noConversion"/>
  </si>
  <si>
    <t>2026년 농촌융복합 혁신거점 조성사업 세부사업 추진계획 기준 내 편성</t>
    <phoneticPr fontId="1" type="noConversion"/>
  </si>
  <si>
    <t>단기</t>
    <phoneticPr fontId="1" type="noConversion"/>
  </si>
  <si>
    <t>성과급</t>
    <phoneticPr fontId="1" type="noConversion"/>
  </si>
  <si>
    <t>7개월 합계액</t>
    <phoneticPr fontId="1" type="noConversion"/>
  </si>
  <si>
    <t>월평균급여*4.75%</t>
    <phoneticPr fontId="1" type="noConversion"/>
  </si>
  <si>
    <t>월평균급여*3.595%</t>
    <phoneticPr fontId="1" type="noConversion"/>
  </si>
  <si>
    <t>건강보험료*13.14%</t>
    <phoneticPr fontId="1" type="noConversion"/>
  </si>
  <si>
    <t>월평균급여*0.09%</t>
    <phoneticPr fontId="1" type="noConversion"/>
  </si>
  <si>
    <t>2026년도 적용요율</t>
    <phoneticPr fontId="1" type="noConversion"/>
  </si>
  <si>
    <t>비고</t>
    <phoneticPr fontId="1" type="noConversion"/>
  </si>
  <si>
    <t>3,968,146원*7개월</t>
    <phoneticPr fontId="1" type="noConversion"/>
  </si>
  <si>
    <t>3,838,004원*7개월</t>
    <phoneticPr fontId="1" type="noConversion"/>
  </si>
  <si>
    <t>성과급(2명: 고양·동탄점 각 1인, 월 150,000원×6개월)</t>
    <phoneticPr fontId="1" type="noConversion"/>
  </si>
  <si>
    <t>명절 등 단기 추가인력 투입(총 16일: 4개소 × 각 4일)</t>
    <phoneticPr fontId="1" type="noConversion"/>
  </si>
  <si>
    <t>고양·동탄: 주 5일, 한달 4.345주</t>
    <phoneticPr fontId="1" type="noConversion"/>
  </si>
  <si>
    <t>2026 안테나숍 운영 인력비용 산출내역서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</si>
</sst>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43" formatCode="_-* #,##0.00_-;\-* #,##0.00_-;_-* &quot;-&quot;??_-;_-@_-"/>
  </numFmts>
  <fonts count="3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name val="굴림체"/>
      <family val="3"/>
      <charset val="129"/>
    </font>
    <font>
      <b/>
      <sz val="11"/>
      <name val="굴림체"/>
      <family val="3"/>
      <charset val="129"/>
    </font>
    <font>
      <b/>
      <sz val="11"/>
      <color rgb="FF000000"/>
      <name val="굴림체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1"/>
      <color rgb="FF000000"/>
      <name val="경기천년바탕 Regular"/>
      <family val="1"/>
      <charset val="129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경기천년바탕 Regular"/>
      <family val="1"/>
      <charset val="129"/>
    </font>
    <font>
      <sz val="12"/>
      <color rgb="FF000000"/>
      <name val="경기천년바탕 Regular"/>
      <family val="1"/>
      <charset val="129"/>
    </font>
    <font>
      <sz val="11"/>
      <color theme="1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8"/>
      <color theme="1"/>
      <name val="HY견고딕"/>
      <family val="1"/>
      <charset val="129"/>
    </font>
    <font>
      <sz val="10"/>
      <color rgb="FF242424"/>
      <name val="Arial"/>
      <family val="2"/>
    </font>
    <font>
      <b/>
      <sz val="10"/>
      <color rgb="FF000000"/>
      <name val="맑은 고딕"/>
      <family val="3"/>
      <charset val="129"/>
      <scheme val="major"/>
    </font>
  </fonts>
  <fills count="10">
    <fill>
      <patternFill patternType="none"/>
    </fill>
    <fill>
      <patternFill patternType="gray125"/>
    </fill>
    <fill>
      <patternFill patternType="solid">
        <fgColor rgb="FFFDE8D9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CF5E7"/>
        <bgColor indexed="64"/>
      </patternFill>
    </fill>
    <fill>
      <patternFill patternType="solid">
        <fgColor rgb="FFFFFFCC"/>
      </patternFill>
    </fill>
    <fill>
      <patternFill patternType="solid">
        <fgColor theme="9" tint="0.79998168889431442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double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double">
        <color rgb="FF000000"/>
      </bottom>
      <diagonal/>
    </border>
    <border>
      <left style="thick">
        <color rgb="FF000000"/>
      </left>
      <right style="thin">
        <color rgb="FF000000"/>
      </right>
      <top style="double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ck">
        <color rgb="FF000000"/>
      </right>
      <top style="double">
        <color rgb="FF000000"/>
      </top>
      <bottom/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/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8" borderId="26" applyNumberFormat="0" applyFont="0" applyAlignment="0" applyProtection="0">
      <alignment vertical="center"/>
    </xf>
  </cellStyleXfs>
  <cellXfs count="185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7" fillId="2" borderId="1" xfId="0" applyFont="1" applyFill="1" applyBorder="1">
      <alignment vertical="center"/>
    </xf>
    <xf numFmtId="0" fontId="8" fillId="2" borderId="1" xfId="0" applyFont="1" applyFill="1" applyBorder="1">
      <alignment vertical="center"/>
    </xf>
    <xf numFmtId="0" fontId="4" fillId="0" borderId="1" xfId="0" applyFont="1" applyBorder="1">
      <alignment vertical="center"/>
    </xf>
    <xf numFmtId="1" fontId="2" fillId="0" borderId="1" xfId="0" applyNumberFormat="1" applyFont="1" applyBorder="1">
      <alignment vertical="center"/>
    </xf>
    <xf numFmtId="3" fontId="2" fillId="0" borderId="1" xfId="0" applyNumberFormat="1" applyFont="1" applyBorder="1">
      <alignment vertical="center"/>
    </xf>
    <xf numFmtId="3" fontId="6" fillId="0" borderId="1" xfId="0" applyNumberFormat="1" applyFont="1" applyBorder="1">
      <alignment vertical="center"/>
    </xf>
    <xf numFmtId="0" fontId="3" fillId="0" borderId="0" xfId="0" applyFont="1">
      <alignment vertical="center"/>
    </xf>
    <xf numFmtId="0" fontId="5" fillId="2" borderId="6" xfId="0" applyFont="1" applyFill="1" applyBorder="1">
      <alignment vertical="center"/>
    </xf>
    <xf numFmtId="0" fontId="5" fillId="2" borderId="3" xfId="0" applyFont="1" applyFill="1" applyBorder="1">
      <alignment vertical="center"/>
    </xf>
    <xf numFmtId="0" fontId="5" fillId="2" borderId="7" xfId="0" applyFont="1" applyFill="1" applyBorder="1">
      <alignment vertical="center"/>
    </xf>
    <xf numFmtId="0" fontId="4" fillId="0" borderId="6" xfId="0" applyFont="1" applyBorder="1">
      <alignment vertical="center"/>
    </xf>
    <xf numFmtId="0" fontId="4" fillId="0" borderId="3" xfId="0" applyFont="1" applyBorder="1">
      <alignment vertical="center"/>
    </xf>
    <xf numFmtId="0" fontId="4" fillId="0" borderId="7" xfId="0" applyFont="1" applyBorder="1">
      <alignment vertical="center"/>
    </xf>
    <xf numFmtId="0" fontId="3" fillId="0" borderId="2" xfId="0" applyFont="1" applyBorder="1">
      <alignment vertical="center"/>
    </xf>
    <xf numFmtId="1" fontId="2" fillId="0" borderId="2" xfId="0" applyNumberFormat="1" applyFont="1" applyBorder="1">
      <alignment vertical="center"/>
    </xf>
    <xf numFmtId="0" fontId="4" fillId="0" borderId="2" xfId="0" applyFont="1" applyBorder="1">
      <alignment vertical="center"/>
    </xf>
    <xf numFmtId="3" fontId="2" fillId="0" borderId="2" xfId="0" applyNumberFormat="1" applyFont="1" applyBorder="1">
      <alignment vertical="center"/>
    </xf>
    <xf numFmtId="0" fontId="4" fillId="2" borderId="4" xfId="0" applyFont="1" applyFill="1" applyBorder="1">
      <alignment vertical="center"/>
    </xf>
    <xf numFmtId="0" fontId="4" fillId="0" borderId="4" xfId="0" applyFont="1" applyBorder="1">
      <alignment vertical="center"/>
    </xf>
    <xf numFmtId="0" fontId="4" fillId="2" borderId="8" xfId="0" applyFont="1" applyFill="1" applyBorder="1">
      <alignment vertical="center"/>
    </xf>
    <xf numFmtId="0" fontId="4" fillId="0" borderId="8" xfId="0" applyFont="1" applyBorder="1">
      <alignment vertical="center"/>
    </xf>
    <xf numFmtId="0" fontId="4" fillId="0" borderId="5" xfId="0" applyFont="1" applyBorder="1">
      <alignment vertical="center"/>
    </xf>
    <xf numFmtId="0" fontId="3" fillId="2" borderId="5" xfId="0" applyFont="1" applyFill="1" applyBorder="1">
      <alignment vertical="center"/>
    </xf>
    <xf numFmtId="0" fontId="4" fillId="2" borderId="6" xfId="0" applyFont="1" applyFill="1" applyBorder="1">
      <alignment vertical="center"/>
    </xf>
    <xf numFmtId="0" fontId="4" fillId="2" borderId="3" xfId="0" applyFont="1" applyFill="1" applyBorder="1">
      <alignment vertical="center"/>
    </xf>
    <xf numFmtId="0" fontId="4" fillId="2" borderId="7" xfId="0" applyFont="1" applyFill="1" applyBorder="1">
      <alignment vertical="center"/>
    </xf>
    <xf numFmtId="3" fontId="2" fillId="2" borderId="2" xfId="0" applyNumberFormat="1" applyFont="1" applyFill="1" applyBorder="1">
      <alignment vertical="center"/>
    </xf>
    <xf numFmtId="0" fontId="3" fillId="2" borderId="2" xfId="0" applyFont="1" applyFill="1" applyBorder="1">
      <alignment vertical="center"/>
    </xf>
    <xf numFmtId="0" fontId="4" fillId="2" borderId="5" xfId="0" applyFont="1" applyFill="1" applyBorder="1">
      <alignment vertical="center"/>
    </xf>
    <xf numFmtId="3" fontId="6" fillId="2" borderId="2" xfId="0" applyNumberFormat="1" applyFont="1" applyFill="1" applyBorder="1">
      <alignment vertical="center"/>
    </xf>
    <xf numFmtId="0" fontId="4" fillId="2" borderId="2" xfId="0" applyFont="1" applyFill="1" applyBorder="1">
      <alignment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1" fontId="2" fillId="0" borderId="2" xfId="0" applyNumberFormat="1" applyFont="1" applyBorder="1" applyAlignment="1">
      <alignment horizontal="right" vertical="center"/>
    </xf>
    <xf numFmtId="3" fontId="2" fillId="0" borderId="2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3" fontId="2" fillId="2" borderId="2" xfId="0" applyNumberFormat="1" applyFont="1" applyFill="1" applyBorder="1" applyAlignment="1">
      <alignment horizontal="right" vertical="center"/>
    </xf>
    <xf numFmtId="3" fontId="6" fillId="2" borderId="2" xfId="0" applyNumberFormat="1" applyFont="1" applyFill="1" applyBorder="1" applyAlignment="1">
      <alignment horizontal="right" vertical="center"/>
    </xf>
    <xf numFmtId="0" fontId="4" fillId="3" borderId="7" xfId="0" applyFont="1" applyFill="1" applyBorder="1">
      <alignment vertical="center"/>
    </xf>
    <xf numFmtId="0" fontId="4" fillId="3" borderId="2" xfId="0" applyFont="1" applyFill="1" applyBorder="1">
      <alignment vertical="center"/>
    </xf>
    <xf numFmtId="3" fontId="2" fillId="3" borderId="2" xfId="0" applyNumberFormat="1" applyFont="1" applyFill="1" applyBorder="1" applyAlignment="1">
      <alignment horizontal="right" vertical="center"/>
    </xf>
    <xf numFmtId="0" fontId="4" fillId="4" borderId="2" xfId="0" applyFont="1" applyFill="1" applyBorder="1">
      <alignment vertical="center"/>
    </xf>
    <xf numFmtId="3" fontId="2" fillId="4" borderId="2" xfId="0" applyNumberFormat="1" applyFont="1" applyFill="1" applyBorder="1" applyAlignment="1">
      <alignment horizontal="right" vertical="center"/>
    </xf>
    <xf numFmtId="0" fontId="4" fillId="0" borderId="0" xfId="0" applyFont="1">
      <alignment vertical="center"/>
    </xf>
    <xf numFmtId="1" fontId="2" fillId="0" borderId="0" xfId="0" applyNumberFormat="1" applyFont="1">
      <alignment vertical="center"/>
    </xf>
    <xf numFmtId="3" fontId="2" fillId="0" borderId="0" xfId="0" applyNumberFormat="1" applyFont="1">
      <alignment vertical="center"/>
    </xf>
    <xf numFmtId="3" fontId="6" fillId="0" borderId="0" xfId="0" applyNumberFormat="1" applyFont="1" applyAlignment="1">
      <alignment horizontal="center" vertical="center"/>
    </xf>
    <xf numFmtId="3" fontId="6" fillId="0" borderId="0" xfId="0" applyNumberFormat="1" applyFont="1">
      <alignment vertical="center"/>
    </xf>
    <xf numFmtId="0" fontId="8" fillId="2" borderId="9" xfId="0" applyFont="1" applyFill="1" applyBorder="1">
      <alignment vertical="center"/>
    </xf>
    <xf numFmtId="0" fontId="8" fillId="2" borderId="10" xfId="0" applyFont="1" applyFill="1" applyBorder="1">
      <alignment vertical="center"/>
    </xf>
    <xf numFmtId="3" fontId="6" fillId="0" borderId="9" xfId="0" applyNumberFormat="1" applyFont="1" applyBorder="1">
      <alignment vertical="center"/>
    </xf>
    <xf numFmtId="3" fontId="6" fillId="0" borderId="10" xfId="0" applyNumberFormat="1" applyFont="1" applyBorder="1">
      <alignment vertical="center"/>
    </xf>
    <xf numFmtId="41" fontId="0" fillId="0" borderId="0" xfId="1" applyFont="1">
      <alignment vertical="center"/>
    </xf>
    <xf numFmtId="43" fontId="0" fillId="0" borderId="0" xfId="0" applyNumberFormat="1">
      <alignment vertical="center"/>
    </xf>
    <xf numFmtId="0" fontId="10" fillId="7" borderId="12" xfId="0" applyFont="1" applyFill="1" applyBorder="1" applyAlignment="1">
      <alignment horizontal="center" vertical="center" wrapText="1"/>
    </xf>
    <xf numFmtId="0" fontId="10" fillId="7" borderId="13" xfId="0" applyFont="1" applyFill="1" applyBorder="1" applyAlignment="1">
      <alignment horizontal="center" vertical="center" wrapText="1"/>
    </xf>
    <xf numFmtId="0" fontId="10" fillId="7" borderId="14" xfId="0" applyFont="1" applyFill="1" applyBorder="1" applyAlignment="1">
      <alignment horizontal="center" vertical="center" wrapText="1"/>
    </xf>
    <xf numFmtId="3" fontId="0" fillId="0" borderId="0" xfId="0" applyNumberFormat="1">
      <alignment vertical="center"/>
    </xf>
    <xf numFmtId="0" fontId="12" fillId="0" borderId="17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3" fontId="13" fillId="0" borderId="2" xfId="0" applyNumberFormat="1" applyFont="1" applyBorder="1" applyAlignment="1">
      <alignment horizontal="right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left"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3" fontId="13" fillId="0" borderId="23" xfId="0" applyNumberFormat="1" applyFont="1" applyBorder="1" applyAlignment="1">
      <alignment horizontal="right" vertical="center" wrapText="1"/>
    </xf>
    <xf numFmtId="0" fontId="13" fillId="0" borderId="23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14" fillId="0" borderId="0" xfId="0" applyFont="1" applyAlignment="1">
      <alignment horizontal="left" vertical="center"/>
    </xf>
    <xf numFmtId="0" fontId="10" fillId="7" borderId="25" xfId="0" applyFont="1" applyFill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3" fontId="13" fillId="0" borderId="25" xfId="0" applyNumberFormat="1" applyFont="1" applyBorder="1" applyAlignment="1">
      <alignment horizontal="right" vertical="center" wrapText="1"/>
    </xf>
    <xf numFmtId="0" fontId="13" fillId="0" borderId="25" xfId="0" applyFont="1" applyBorder="1" applyAlignment="1">
      <alignment horizontal="center" vertical="center" wrapText="1"/>
    </xf>
    <xf numFmtId="0" fontId="15" fillId="0" borderId="0" xfId="0" applyFont="1">
      <alignment vertical="center"/>
    </xf>
    <xf numFmtId="0" fontId="15" fillId="0" borderId="0" xfId="0" applyFont="1" applyAlignment="1">
      <alignment horizontal="right" vertical="center"/>
    </xf>
    <xf numFmtId="41" fontId="16" fillId="0" borderId="0" xfId="1" applyFont="1" applyFill="1" applyBorder="1">
      <alignment vertical="center"/>
    </xf>
    <xf numFmtId="1" fontId="19" fillId="0" borderId="1" xfId="0" applyNumberFormat="1" applyFont="1" applyBorder="1" applyAlignment="1">
      <alignment horizontal="center" vertical="center"/>
    </xf>
    <xf numFmtId="0" fontId="22" fillId="0" borderId="0" xfId="0" applyFont="1">
      <alignment vertical="center"/>
    </xf>
    <xf numFmtId="1" fontId="23" fillId="0" borderId="0" xfId="0" applyNumberFormat="1" applyFont="1">
      <alignment vertical="center"/>
    </xf>
    <xf numFmtId="3" fontId="23" fillId="0" borderId="0" xfId="0" applyNumberFormat="1" applyFont="1">
      <alignment vertical="center"/>
    </xf>
    <xf numFmtId="3" fontId="24" fillId="0" borderId="0" xfId="0" applyNumberFormat="1" applyFont="1" applyAlignment="1">
      <alignment horizontal="center" vertical="center"/>
    </xf>
    <xf numFmtId="3" fontId="24" fillId="0" borderId="0" xfId="0" applyNumberFormat="1" applyFont="1">
      <alignment vertical="center"/>
    </xf>
    <xf numFmtId="0" fontId="15" fillId="0" borderId="2" xfId="0" applyFont="1" applyBorder="1">
      <alignment vertical="center"/>
    </xf>
    <xf numFmtId="0" fontId="22" fillId="0" borderId="2" xfId="0" applyFont="1" applyBorder="1">
      <alignment vertical="center"/>
    </xf>
    <xf numFmtId="0" fontId="22" fillId="0" borderId="4" xfId="0" applyFont="1" applyBorder="1">
      <alignment vertical="center"/>
    </xf>
    <xf numFmtId="0" fontId="22" fillId="0" borderId="8" xfId="0" applyFont="1" applyBorder="1">
      <alignment vertical="center"/>
    </xf>
    <xf numFmtId="43" fontId="15" fillId="0" borderId="0" xfId="0" applyNumberFormat="1" applyFont="1">
      <alignment vertical="center"/>
    </xf>
    <xf numFmtId="0" fontId="22" fillId="0" borderId="5" xfId="0" applyFont="1" applyBorder="1">
      <alignment vertical="center"/>
    </xf>
    <xf numFmtId="0" fontId="22" fillId="0" borderId="6" xfId="0" applyFont="1" applyBorder="1">
      <alignment vertical="center"/>
    </xf>
    <xf numFmtId="0" fontId="22" fillId="3" borderId="7" xfId="0" applyFont="1" applyFill="1" applyBorder="1">
      <alignment vertical="center"/>
    </xf>
    <xf numFmtId="0" fontId="22" fillId="0" borderId="7" xfId="0" applyFont="1" applyBorder="1">
      <alignment vertical="center"/>
    </xf>
    <xf numFmtId="0" fontId="22" fillId="2" borderId="6" xfId="0" applyFont="1" applyFill="1" applyBorder="1">
      <alignment vertical="center"/>
    </xf>
    <xf numFmtId="0" fontId="22" fillId="2" borderId="3" xfId="0" applyFont="1" applyFill="1" applyBorder="1">
      <alignment vertical="center"/>
    </xf>
    <xf numFmtId="0" fontId="22" fillId="2" borderId="7" xfId="0" applyFont="1" applyFill="1" applyBorder="1">
      <alignment vertical="center"/>
    </xf>
    <xf numFmtId="0" fontId="22" fillId="6" borderId="2" xfId="0" applyFont="1" applyFill="1" applyBorder="1">
      <alignment vertical="center"/>
    </xf>
    <xf numFmtId="0" fontId="15" fillId="2" borderId="2" xfId="0" applyFont="1" applyFill="1" applyBorder="1">
      <alignment vertical="center"/>
    </xf>
    <xf numFmtId="0" fontId="22" fillId="0" borderId="3" xfId="0" applyFont="1" applyBorder="1">
      <alignment vertical="center"/>
    </xf>
    <xf numFmtId="0" fontId="22" fillId="9" borderId="3" xfId="0" applyFont="1" applyFill="1" applyBorder="1">
      <alignment vertical="center"/>
    </xf>
    <xf numFmtId="0" fontId="22" fillId="9" borderId="7" xfId="0" applyFont="1" applyFill="1" applyBorder="1">
      <alignment vertical="center"/>
    </xf>
    <xf numFmtId="0" fontId="22" fillId="6" borderId="7" xfId="0" applyFont="1" applyFill="1" applyBorder="1">
      <alignment vertical="center"/>
    </xf>
    <xf numFmtId="41" fontId="15" fillId="0" borderId="0" xfId="1" applyFont="1" applyFill="1">
      <alignment vertical="center"/>
    </xf>
    <xf numFmtId="0" fontId="15" fillId="0" borderId="6" xfId="0" applyFont="1" applyBorder="1">
      <alignment vertical="center"/>
    </xf>
    <xf numFmtId="0" fontId="15" fillId="8" borderId="27" xfId="2" applyFont="1" applyBorder="1" applyAlignment="1">
      <alignment vertical="center"/>
    </xf>
    <xf numFmtId="0" fontId="22" fillId="3" borderId="6" xfId="0" applyFont="1" applyFill="1" applyBorder="1">
      <alignment vertical="center"/>
    </xf>
    <xf numFmtId="1" fontId="23" fillId="0" borderId="1" xfId="0" applyNumberFormat="1" applyFont="1" applyBorder="1" applyAlignment="1">
      <alignment horizontal="right" vertical="center" indent="1"/>
    </xf>
    <xf numFmtId="3" fontId="29" fillId="0" borderId="0" xfId="0" applyNumberFormat="1" applyFont="1">
      <alignment vertical="center"/>
    </xf>
    <xf numFmtId="41" fontId="23" fillId="0" borderId="1" xfId="0" applyNumberFormat="1" applyFont="1" applyBorder="1" applyAlignment="1">
      <alignment horizontal="right" vertical="center" indent="1"/>
    </xf>
    <xf numFmtId="41" fontId="23" fillId="8" borderId="1" xfId="2" applyNumberFormat="1" applyFont="1" applyBorder="1" applyAlignment="1">
      <alignment horizontal="right" vertical="center" indent="1"/>
    </xf>
    <xf numFmtId="41" fontId="15" fillId="0" borderId="1" xfId="0" applyNumberFormat="1" applyFont="1" applyBorder="1" applyAlignment="1">
      <alignment horizontal="right" vertical="center" indent="1"/>
    </xf>
    <xf numFmtId="41" fontId="22" fillId="0" borderId="1" xfId="0" applyNumberFormat="1" applyFont="1" applyBorder="1" applyAlignment="1">
      <alignment horizontal="right" vertical="center" indent="1"/>
    </xf>
    <xf numFmtId="41" fontId="23" fillId="3" borderId="1" xfId="0" applyNumberFormat="1" applyFont="1" applyFill="1" applyBorder="1" applyAlignment="1">
      <alignment horizontal="right" vertical="center" indent="1"/>
    </xf>
    <xf numFmtId="41" fontId="23" fillId="2" borderId="5" xfId="0" applyNumberFormat="1" applyFont="1" applyFill="1" applyBorder="1" applyAlignment="1">
      <alignment horizontal="right" vertical="center" indent="1"/>
    </xf>
    <xf numFmtId="41" fontId="23" fillId="6" borderId="2" xfId="0" applyNumberFormat="1" applyFont="1" applyFill="1" applyBorder="1" applyAlignment="1">
      <alignment horizontal="right" vertical="center" indent="1"/>
    </xf>
    <xf numFmtId="41" fontId="22" fillId="6" borderId="2" xfId="0" applyNumberFormat="1" applyFont="1" applyFill="1" applyBorder="1" applyAlignment="1">
      <alignment horizontal="right" vertical="center" indent="1"/>
    </xf>
    <xf numFmtId="41" fontId="23" fillId="2" borderId="2" xfId="0" applyNumberFormat="1" applyFont="1" applyFill="1" applyBorder="1" applyAlignment="1">
      <alignment horizontal="right" vertical="center" indent="1"/>
    </xf>
    <xf numFmtId="41" fontId="23" fillId="0" borderId="2" xfId="0" applyNumberFormat="1" applyFont="1" applyBorder="1" applyAlignment="1">
      <alignment horizontal="right" vertical="center" indent="1"/>
    </xf>
    <xf numFmtId="41" fontId="22" fillId="0" borderId="2" xfId="0" applyNumberFormat="1" applyFont="1" applyBorder="1" applyAlignment="1">
      <alignment horizontal="right" vertical="center" indent="1"/>
    </xf>
    <xf numFmtId="41" fontId="19" fillId="0" borderId="1" xfId="0" applyNumberFormat="1" applyFont="1" applyBorder="1" applyAlignment="1">
      <alignment horizontal="right" vertical="center" indent="1"/>
    </xf>
    <xf numFmtId="41" fontId="20" fillId="0" borderId="1" xfId="0" applyNumberFormat="1" applyFont="1" applyBorder="1" applyAlignment="1">
      <alignment horizontal="right" vertical="center" indent="1"/>
    </xf>
    <xf numFmtId="0" fontId="18" fillId="5" borderId="30" xfId="0" applyFont="1" applyFill="1" applyBorder="1" applyAlignment="1">
      <alignment horizontal="center" vertical="center"/>
    </xf>
    <xf numFmtId="0" fontId="17" fillId="0" borderId="31" xfId="0" applyFont="1" applyBorder="1" applyAlignment="1">
      <alignment horizontal="center" vertical="center"/>
    </xf>
    <xf numFmtId="0" fontId="17" fillId="0" borderId="33" xfId="0" applyFont="1" applyBorder="1" applyAlignment="1">
      <alignment horizontal="center" vertical="center"/>
    </xf>
    <xf numFmtId="1" fontId="19" fillId="0" borderId="34" xfId="0" applyNumberFormat="1" applyFont="1" applyBorder="1" applyAlignment="1">
      <alignment horizontal="center" vertical="center"/>
    </xf>
    <xf numFmtId="41" fontId="19" fillId="0" borderId="34" xfId="0" applyNumberFormat="1" applyFont="1" applyBorder="1" applyAlignment="1">
      <alignment horizontal="right" vertical="center" indent="1"/>
    </xf>
    <xf numFmtId="41" fontId="20" fillId="0" borderId="34" xfId="0" applyNumberFormat="1" applyFont="1" applyBorder="1" applyAlignment="1">
      <alignment horizontal="right" vertical="center" indent="1"/>
    </xf>
    <xf numFmtId="0" fontId="25" fillId="2" borderId="39" xfId="0" applyFont="1" applyFill="1" applyBorder="1" applyAlignment="1">
      <alignment horizontal="center" vertical="center"/>
    </xf>
    <xf numFmtId="0" fontId="25" fillId="2" borderId="29" xfId="0" applyFont="1" applyFill="1" applyBorder="1" applyAlignment="1">
      <alignment horizontal="center" vertical="center"/>
    </xf>
    <xf numFmtId="0" fontId="25" fillId="2" borderId="40" xfId="0" applyFont="1" applyFill="1" applyBorder="1" applyAlignment="1">
      <alignment horizontal="center" vertical="center"/>
    </xf>
    <xf numFmtId="0" fontId="15" fillId="0" borderId="42" xfId="0" applyFont="1" applyBorder="1">
      <alignment vertical="center"/>
    </xf>
    <xf numFmtId="0" fontId="26" fillId="0" borderId="42" xfId="0" applyFont="1" applyBorder="1">
      <alignment vertical="center"/>
    </xf>
    <xf numFmtId="0" fontId="22" fillId="2" borderId="43" xfId="0" applyFont="1" applyFill="1" applyBorder="1">
      <alignment vertical="center"/>
    </xf>
    <xf numFmtId="0" fontId="22" fillId="8" borderId="26" xfId="2" applyFont="1" applyBorder="1" applyAlignment="1">
      <alignment vertical="center"/>
    </xf>
    <xf numFmtId="0" fontId="27" fillId="0" borderId="42" xfId="0" applyFont="1" applyBorder="1" applyAlignment="1">
      <alignment vertical="center" shrinkToFit="1"/>
    </xf>
    <xf numFmtId="0" fontId="22" fillId="2" borderId="44" xfId="0" applyFont="1" applyFill="1" applyBorder="1">
      <alignment vertical="center"/>
    </xf>
    <xf numFmtId="0" fontId="27" fillId="0" borderId="42" xfId="0" applyFont="1" applyBorder="1">
      <alignment vertical="center"/>
    </xf>
    <xf numFmtId="0" fontId="15" fillId="2" borderId="45" xfId="0" applyFont="1" applyFill="1" applyBorder="1">
      <alignment vertical="center"/>
    </xf>
    <xf numFmtId="0" fontId="27" fillId="2" borderId="46" xfId="0" applyFont="1" applyFill="1" applyBorder="1">
      <alignment vertical="center"/>
    </xf>
    <xf numFmtId="0" fontId="26" fillId="0" borderId="46" xfId="0" applyFont="1" applyBorder="1">
      <alignment vertical="center"/>
    </xf>
    <xf numFmtId="0" fontId="27" fillId="0" borderId="46" xfId="0" applyFont="1" applyBorder="1">
      <alignment vertical="center"/>
    </xf>
    <xf numFmtId="0" fontId="22" fillId="2" borderId="41" xfId="0" applyFont="1" applyFill="1" applyBorder="1">
      <alignment vertical="center"/>
    </xf>
    <xf numFmtId="0" fontId="22" fillId="2" borderId="45" xfId="0" applyFont="1" applyFill="1" applyBorder="1">
      <alignment vertical="center"/>
    </xf>
    <xf numFmtId="0" fontId="22" fillId="2" borderId="47" xfId="0" applyFont="1" applyFill="1" applyBorder="1" applyAlignment="1">
      <alignment horizontal="center" vertical="center"/>
    </xf>
    <xf numFmtId="0" fontId="22" fillId="9" borderId="41" xfId="0" applyFont="1" applyFill="1" applyBorder="1">
      <alignment vertical="center"/>
    </xf>
    <xf numFmtId="0" fontId="15" fillId="2" borderId="51" xfId="0" applyFont="1" applyFill="1" applyBorder="1">
      <alignment vertical="center"/>
    </xf>
    <xf numFmtId="41" fontId="24" fillId="2" borderId="51" xfId="0" applyNumberFormat="1" applyFont="1" applyFill="1" applyBorder="1" applyAlignment="1">
      <alignment horizontal="right" vertical="center" indent="1"/>
    </xf>
    <xf numFmtId="0" fontId="26" fillId="2" borderId="52" xfId="0" applyFont="1" applyFill="1" applyBorder="1">
      <alignment vertical="center"/>
    </xf>
    <xf numFmtId="0" fontId="18" fillId="2" borderId="29" xfId="0" applyFont="1" applyFill="1" applyBorder="1" applyAlignment="1">
      <alignment horizontal="center" vertical="center"/>
    </xf>
    <xf numFmtId="3" fontId="30" fillId="0" borderId="1" xfId="0" applyNumberFormat="1" applyFont="1" applyBorder="1">
      <alignment vertical="center"/>
    </xf>
    <xf numFmtId="3" fontId="30" fillId="0" borderId="34" xfId="0" applyNumberFormat="1" applyFont="1" applyBorder="1">
      <alignment vertical="center"/>
    </xf>
    <xf numFmtId="0" fontId="22" fillId="0" borderId="41" xfId="0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0" fontId="25" fillId="2" borderId="48" xfId="0" applyFont="1" applyFill="1" applyBorder="1" applyAlignment="1">
      <alignment horizontal="center" vertical="center"/>
    </xf>
    <xf numFmtId="0" fontId="25" fillId="2" borderId="49" xfId="0" applyFont="1" applyFill="1" applyBorder="1" applyAlignment="1">
      <alignment horizontal="center" vertical="center"/>
    </xf>
    <xf numFmtId="0" fontId="25" fillId="2" borderId="50" xfId="0" applyFont="1" applyFill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18" fillId="2" borderId="28" xfId="0" applyFont="1" applyFill="1" applyBorder="1" applyAlignment="1">
      <alignment horizontal="center" vertical="center"/>
    </xf>
    <xf numFmtId="0" fontId="18" fillId="2" borderId="29" xfId="0" applyFont="1" applyFill="1" applyBorder="1" applyAlignment="1">
      <alignment horizontal="center" vertical="center"/>
    </xf>
    <xf numFmtId="41" fontId="21" fillId="5" borderId="32" xfId="0" applyNumberFormat="1" applyFont="1" applyFill="1" applyBorder="1" applyAlignment="1">
      <alignment horizontal="center" vertical="center"/>
    </xf>
    <xf numFmtId="41" fontId="21" fillId="5" borderId="35" xfId="0" applyNumberFormat="1" applyFont="1" applyFill="1" applyBorder="1" applyAlignment="1">
      <alignment horizontal="center" vertical="center"/>
    </xf>
    <xf numFmtId="0" fontId="25" fillId="2" borderId="36" xfId="0" applyFont="1" applyFill="1" applyBorder="1" applyAlignment="1">
      <alignment horizontal="center" vertical="center"/>
    </xf>
    <xf numFmtId="0" fontId="25" fillId="2" borderId="37" xfId="0" applyFont="1" applyFill="1" applyBorder="1" applyAlignment="1">
      <alignment horizontal="center" vertical="center"/>
    </xf>
    <xf numFmtId="0" fontId="25" fillId="2" borderId="38" xfId="0" applyFont="1" applyFill="1" applyBorder="1" applyAlignment="1">
      <alignment horizontal="center" vertical="center"/>
    </xf>
    <xf numFmtId="0" fontId="12" fillId="0" borderId="15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3" fontId="13" fillId="0" borderId="17" xfId="0" applyNumberFormat="1" applyFont="1" applyBorder="1" applyAlignment="1">
      <alignment horizontal="right" vertical="center" wrapText="1"/>
    </xf>
    <xf numFmtId="3" fontId="13" fillId="0" borderId="5" xfId="0" applyNumberFormat="1" applyFont="1" applyBorder="1" applyAlignment="1">
      <alignment horizontal="right" vertical="center" wrapText="1"/>
    </xf>
    <xf numFmtId="0" fontId="12" fillId="0" borderId="18" xfId="0" applyFont="1" applyBorder="1" applyAlignment="1">
      <alignment horizontal="left" vertical="center" wrapText="1"/>
    </xf>
    <xf numFmtId="0" fontId="12" fillId="0" borderId="19" xfId="0" applyFont="1" applyBorder="1" applyAlignment="1">
      <alignment horizontal="left" vertical="center" wrapText="1"/>
    </xf>
    <xf numFmtId="0" fontId="12" fillId="0" borderId="17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3" fontId="6" fillId="0" borderId="11" xfId="0" applyNumberFormat="1" applyFont="1" applyBorder="1" applyAlignment="1">
      <alignment horizontal="center" vertical="center"/>
    </xf>
    <xf numFmtId="3" fontId="6" fillId="0" borderId="0" xfId="0" applyNumberFormat="1" applyFont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3" fontId="6" fillId="0" borderId="9" xfId="0" applyNumberFormat="1" applyFont="1" applyBorder="1" applyAlignment="1">
      <alignment horizontal="center" vertical="center"/>
    </xf>
    <xf numFmtId="3" fontId="6" fillId="0" borderId="10" xfId="0" applyNumberFormat="1" applyFont="1" applyBorder="1" applyAlignment="1">
      <alignment horizontal="center" vertical="center"/>
    </xf>
  </cellXfs>
  <cellStyles count="3">
    <cellStyle name="메모" xfId="2" builtinId="10"/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7"/>
  <sheetViews>
    <sheetView tabSelected="1" zoomScaleNormal="100" zoomScaleSheetLayoutView="70" workbookViewId="0">
      <selection sqref="A1:J47"/>
    </sheetView>
  </sheetViews>
  <sheetFormatPr defaultRowHeight="16.5"/>
  <cols>
    <col min="1" max="2" width="9" style="79"/>
    <col min="3" max="3" width="20" style="79" customWidth="1"/>
    <col min="4" max="4" width="32.75" style="79" customWidth="1"/>
    <col min="5" max="8" width="18" style="80" customWidth="1"/>
    <col min="9" max="9" width="53.625" style="79" customWidth="1"/>
    <col min="10" max="10" width="17.25" style="79" customWidth="1"/>
    <col min="11" max="11" width="9" style="79"/>
    <col min="12" max="12" width="14.625" style="79" bestFit="1" customWidth="1"/>
    <col min="13" max="16384" width="9" style="79"/>
  </cols>
  <sheetData>
    <row r="1" spans="1:12" ht="31.5" customHeight="1">
      <c r="A1" s="161" t="s">
        <v>175</v>
      </c>
      <c r="B1" s="161"/>
      <c r="C1" s="161"/>
      <c r="D1" s="161"/>
      <c r="E1" s="161"/>
      <c r="F1" s="161"/>
      <c r="G1" s="161"/>
      <c r="H1" s="161"/>
      <c r="I1" s="161"/>
    </row>
    <row r="2" spans="1:12" ht="15.75" customHeight="1" thickBot="1"/>
    <row r="3" spans="1:12" ht="22.5" customHeight="1">
      <c r="A3" s="162" t="s">
        <v>5</v>
      </c>
      <c r="B3" s="163"/>
      <c r="C3" s="152" t="s">
        <v>91</v>
      </c>
      <c r="D3" s="152" t="s">
        <v>131</v>
      </c>
      <c r="E3" s="152" t="s">
        <v>132</v>
      </c>
      <c r="F3" s="152"/>
      <c r="G3" s="152"/>
      <c r="H3" s="152" t="s">
        <v>94</v>
      </c>
      <c r="I3" s="152" t="s">
        <v>169</v>
      </c>
      <c r="J3" s="125" t="s">
        <v>163</v>
      </c>
    </row>
    <row r="4" spans="1:12" ht="22.5" customHeight="1">
      <c r="A4" s="126" t="s">
        <v>150</v>
      </c>
      <c r="B4" s="82">
        <v>1</v>
      </c>
      <c r="C4" s="123">
        <f>E47</f>
        <v>3607405.1042561536</v>
      </c>
      <c r="D4" s="123">
        <f>C4*B4</f>
        <v>3607405.1042561536</v>
      </c>
      <c r="E4" s="123">
        <f>D4*10%</f>
        <v>360740.51042561536</v>
      </c>
      <c r="F4" s="123"/>
      <c r="G4" s="123"/>
      <c r="H4" s="124">
        <f>D4+E4</f>
        <v>3968145.6146817692</v>
      </c>
      <c r="I4" s="153" t="s">
        <v>170</v>
      </c>
      <c r="J4" s="164">
        <f>ROUNDDOWN((SUM(H4:H5)*7+SUM(H6:H7)),-1)+20</f>
        <v>58971220</v>
      </c>
    </row>
    <row r="5" spans="1:12" ht="22.5" customHeight="1">
      <c r="A5" s="126" t="s">
        <v>133</v>
      </c>
      <c r="B5" s="82">
        <v>1</v>
      </c>
      <c r="C5" s="123">
        <f>F47</f>
        <v>3477263.0268911533</v>
      </c>
      <c r="D5" s="123">
        <f>C5*B5</f>
        <v>3477263.0268911533</v>
      </c>
      <c r="E5" s="123">
        <f>D4*10%</f>
        <v>360740.51042561536</v>
      </c>
      <c r="F5" s="123"/>
      <c r="G5" s="123"/>
      <c r="H5" s="124">
        <f>D5+E5</f>
        <v>3838003.5373167684</v>
      </c>
      <c r="I5" s="153" t="s">
        <v>171</v>
      </c>
      <c r="J5" s="164"/>
    </row>
    <row r="6" spans="1:12" ht="22.5" customHeight="1">
      <c r="A6" s="126" t="s">
        <v>161</v>
      </c>
      <c r="B6" s="82"/>
      <c r="C6" s="123">
        <f>G47</f>
        <v>1855687.6799999999</v>
      </c>
      <c r="D6" s="123">
        <f>C6</f>
        <v>1855687.6799999999</v>
      </c>
      <c r="E6" s="123">
        <f>D6*10%</f>
        <v>185568.76800000001</v>
      </c>
      <c r="F6" s="123"/>
      <c r="G6" s="123"/>
      <c r="H6" s="124">
        <f>D6+E6</f>
        <v>2041256.4479999999</v>
      </c>
      <c r="I6" s="153" t="s">
        <v>173</v>
      </c>
      <c r="J6" s="164"/>
      <c r="L6" s="92"/>
    </row>
    <row r="7" spans="1:12" ht="22.5" customHeight="1" thickBot="1">
      <c r="A7" s="127" t="s">
        <v>162</v>
      </c>
      <c r="B7" s="128"/>
      <c r="C7" s="129">
        <f>H47</f>
        <v>2079000</v>
      </c>
      <c r="D7" s="129">
        <f>C7</f>
        <v>2079000</v>
      </c>
      <c r="E7" s="129">
        <f>D7*10%</f>
        <v>207900</v>
      </c>
      <c r="F7" s="129"/>
      <c r="G7" s="129"/>
      <c r="H7" s="130">
        <f>D7+E7</f>
        <v>2286900</v>
      </c>
      <c r="I7" s="154" t="s">
        <v>172</v>
      </c>
      <c r="J7" s="165"/>
      <c r="L7" s="92"/>
    </row>
    <row r="8" spans="1:12" ht="20.25" customHeight="1" thickBot="1">
      <c r="A8" s="83"/>
      <c r="B8" s="84"/>
      <c r="C8" s="85"/>
      <c r="D8" s="85"/>
      <c r="E8" s="86"/>
      <c r="F8" s="86"/>
      <c r="G8" s="86"/>
      <c r="H8" s="86"/>
      <c r="I8" s="87"/>
    </row>
    <row r="9" spans="1:12" ht="20.25" customHeight="1">
      <c r="A9" s="166" t="s">
        <v>10</v>
      </c>
      <c r="B9" s="167"/>
      <c r="C9" s="168"/>
      <c r="D9" s="131" t="s">
        <v>11</v>
      </c>
      <c r="E9" s="132" t="s">
        <v>150</v>
      </c>
      <c r="F9" s="132" t="s">
        <v>133</v>
      </c>
      <c r="G9" s="132" t="s">
        <v>158</v>
      </c>
      <c r="H9" s="132" t="s">
        <v>159</v>
      </c>
      <c r="I9" s="133" t="s">
        <v>4</v>
      </c>
      <c r="J9" s="81"/>
    </row>
    <row r="10" spans="1:12" ht="20.25" customHeight="1">
      <c r="A10" s="155" t="s">
        <v>5</v>
      </c>
      <c r="B10" s="156"/>
      <c r="C10" s="157"/>
      <c r="D10" s="107"/>
      <c r="E10" s="110">
        <v>1</v>
      </c>
      <c r="F10" s="110">
        <v>1</v>
      </c>
      <c r="G10" s="110">
        <v>4</v>
      </c>
      <c r="H10" s="110">
        <v>2</v>
      </c>
      <c r="I10" s="134"/>
      <c r="J10" s="81"/>
    </row>
    <row r="11" spans="1:12" ht="20.25" customHeight="1">
      <c r="A11" s="155" t="s">
        <v>12</v>
      </c>
      <c r="B11" s="156"/>
      <c r="C11" s="157"/>
      <c r="D11" s="94" t="s">
        <v>100</v>
      </c>
      <c r="E11" s="110">
        <v>209</v>
      </c>
      <c r="F11" s="110">
        <v>209</v>
      </c>
      <c r="G11" s="110">
        <v>128</v>
      </c>
      <c r="H11" s="110"/>
      <c r="I11" s="135" t="s">
        <v>174</v>
      </c>
      <c r="J11" s="111"/>
    </row>
    <row r="12" spans="1:12" ht="20.25" customHeight="1">
      <c r="A12" s="155" t="s">
        <v>14</v>
      </c>
      <c r="B12" s="156"/>
      <c r="C12" s="157"/>
      <c r="D12" s="94" t="s">
        <v>155</v>
      </c>
      <c r="E12" s="112">
        <v>12552</v>
      </c>
      <c r="F12" s="112">
        <v>12552</v>
      </c>
      <c r="G12" s="112">
        <v>12552</v>
      </c>
      <c r="H12" s="112"/>
      <c r="I12" s="135" t="s">
        <v>156</v>
      </c>
    </row>
    <row r="13" spans="1:12" ht="20.25" customHeight="1">
      <c r="A13" s="136" t="s">
        <v>17</v>
      </c>
      <c r="B13" s="90" t="s">
        <v>18</v>
      </c>
      <c r="C13" s="137" t="s">
        <v>19</v>
      </c>
      <c r="D13" s="108" t="s">
        <v>151</v>
      </c>
      <c r="E13" s="113">
        <f>E12*E11</f>
        <v>2623368</v>
      </c>
      <c r="F13" s="113">
        <f>F12*F11</f>
        <v>2623368</v>
      </c>
      <c r="G13" s="113">
        <f>G12*G11</f>
        <v>1606656</v>
      </c>
      <c r="H13" s="113">
        <v>1800000</v>
      </c>
      <c r="I13" s="138" t="s">
        <v>160</v>
      </c>
    </row>
    <row r="14" spans="1:12" ht="20.25" customHeight="1">
      <c r="A14" s="139"/>
      <c r="B14" s="91"/>
      <c r="C14" s="89" t="s">
        <v>0</v>
      </c>
      <c r="D14" s="107"/>
      <c r="E14" s="112">
        <v>150000</v>
      </c>
      <c r="F14" s="114">
        <v>50000</v>
      </c>
      <c r="G14" s="112"/>
      <c r="H14" s="112"/>
      <c r="I14" s="140" t="s">
        <v>154</v>
      </c>
      <c r="J14" s="92"/>
    </row>
    <row r="15" spans="1:12" ht="20.25" customHeight="1">
      <c r="A15" s="139"/>
      <c r="B15" s="91"/>
      <c r="C15" s="89" t="s">
        <v>1</v>
      </c>
      <c r="D15" s="107"/>
      <c r="E15" s="115"/>
      <c r="F15" s="114"/>
      <c r="G15" s="115"/>
      <c r="H15" s="115"/>
      <c r="I15" s="140"/>
    </row>
    <row r="16" spans="1:12" ht="20.25" customHeight="1">
      <c r="A16" s="139"/>
      <c r="B16" s="91"/>
      <c r="C16" s="89" t="s">
        <v>20</v>
      </c>
      <c r="D16" s="107"/>
      <c r="E16" s="112"/>
      <c r="F16" s="112"/>
      <c r="G16" s="112"/>
      <c r="H16" s="112"/>
      <c r="I16" s="135"/>
    </row>
    <row r="17" spans="1:9" ht="20.25" customHeight="1">
      <c r="A17" s="139"/>
      <c r="B17" s="93"/>
      <c r="C17" s="89" t="s">
        <v>22</v>
      </c>
      <c r="D17" s="107"/>
      <c r="E17" s="112"/>
      <c r="F17" s="112"/>
      <c r="G17" s="112"/>
      <c r="H17" s="112"/>
      <c r="I17" s="140"/>
    </row>
    <row r="18" spans="1:9" ht="20.25" customHeight="1">
      <c r="A18" s="139"/>
      <c r="B18" s="90" t="s">
        <v>23</v>
      </c>
      <c r="C18" s="89" t="s">
        <v>2</v>
      </c>
      <c r="D18" s="107"/>
      <c r="E18" s="114"/>
      <c r="F18" s="114"/>
      <c r="G18" s="114"/>
      <c r="H18" s="114"/>
      <c r="I18" s="140"/>
    </row>
    <row r="19" spans="1:9" ht="20.25" customHeight="1">
      <c r="A19" s="139"/>
      <c r="B19" s="91"/>
      <c r="C19" s="89" t="s">
        <v>24</v>
      </c>
      <c r="D19" s="107"/>
      <c r="E19" s="112"/>
      <c r="F19" s="112"/>
      <c r="G19" s="112"/>
      <c r="H19" s="112"/>
      <c r="I19" s="135" t="s">
        <v>134</v>
      </c>
    </row>
    <row r="20" spans="1:9" ht="20.25" customHeight="1">
      <c r="A20" s="139"/>
      <c r="B20" s="93"/>
      <c r="C20" s="89" t="s">
        <v>22</v>
      </c>
      <c r="D20" s="107"/>
      <c r="E20" s="112"/>
      <c r="F20" s="112"/>
      <c r="G20" s="112"/>
      <c r="H20" s="112"/>
      <c r="I20" s="140"/>
    </row>
    <row r="21" spans="1:9" ht="20.25" customHeight="1">
      <c r="A21" s="139"/>
      <c r="B21" s="94" t="s">
        <v>26</v>
      </c>
      <c r="C21" s="95"/>
      <c r="D21" s="109" t="s">
        <v>27</v>
      </c>
      <c r="E21" s="116">
        <f>SUM(E13:E20)</f>
        <v>2773368</v>
      </c>
      <c r="F21" s="116">
        <f t="shared" ref="F21" si="0">SUM(F13:F20)</f>
        <v>2673368</v>
      </c>
      <c r="G21" s="116">
        <f t="shared" ref="G21" si="1">SUM(G13:G20)</f>
        <v>1606656</v>
      </c>
      <c r="H21" s="116">
        <f t="shared" ref="H21" si="2">SUM(H13:H20)</f>
        <v>1800000</v>
      </c>
      <c r="I21" s="140"/>
    </row>
    <row r="22" spans="1:9" ht="20.25" customHeight="1">
      <c r="A22" s="139"/>
      <c r="B22" s="94" t="s">
        <v>28</v>
      </c>
      <c r="C22" s="96"/>
      <c r="D22" s="94" t="s">
        <v>135</v>
      </c>
      <c r="E22" s="115"/>
      <c r="F22" s="115"/>
      <c r="G22" s="115"/>
      <c r="H22" s="115"/>
      <c r="I22" s="135" t="s">
        <v>30</v>
      </c>
    </row>
    <row r="23" spans="1:9" ht="20.25" customHeight="1">
      <c r="A23" s="139"/>
      <c r="B23" s="94" t="s">
        <v>31</v>
      </c>
      <c r="C23" s="96"/>
      <c r="D23" s="94" t="s">
        <v>127</v>
      </c>
      <c r="E23" s="112"/>
      <c r="F23" s="112"/>
      <c r="G23" s="112"/>
      <c r="H23" s="112"/>
      <c r="I23" s="135" t="s">
        <v>33</v>
      </c>
    </row>
    <row r="24" spans="1:9" ht="20.25" customHeight="1">
      <c r="A24" s="141"/>
      <c r="B24" s="97" t="s">
        <v>22</v>
      </c>
      <c r="C24" s="98"/>
      <c r="D24" s="99"/>
      <c r="E24" s="117">
        <f>E21</f>
        <v>2773368</v>
      </c>
      <c r="F24" s="117">
        <f>F21*F10</f>
        <v>2673368</v>
      </c>
      <c r="G24" s="117">
        <f>G21</f>
        <v>1606656</v>
      </c>
      <c r="H24" s="117">
        <f>H21</f>
        <v>1800000</v>
      </c>
      <c r="I24" s="142"/>
    </row>
    <row r="25" spans="1:9" ht="20.25" customHeight="1">
      <c r="A25" s="136" t="s">
        <v>34</v>
      </c>
      <c r="B25" s="90" t="s">
        <v>35</v>
      </c>
      <c r="C25" s="100" t="s">
        <v>36</v>
      </c>
      <c r="D25" s="100" t="s">
        <v>165</v>
      </c>
      <c r="E25" s="118">
        <f>E24*0.03595</f>
        <v>99702.579600000012</v>
      </c>
      <c r="F25" s="118">
        <f>F24*0.03595</f>
        <v>96107.579600000012</v>
      </c>
      <c r="G25" s="118"/>
      <c r="H25" s="118"/>
      <c r="I25" s="143" t="s">
        <v>168</v>
      </c>
    </row>
    <row r="26" spans="1:9" ht="20.25" customHeight="1">
      <c r="A26" s="139"/>
      <c r="B26" s="91"/>
      <c r="C26" s="100" t="s">
        <v>130</v>
      </c>
      <c r="D26" s="100" t="s">
        <v>166</v>
      </c>
      <c r="E26" s="118">
        <f>E25*0.1314</f>
        <v>13100.918959440001</v>
      </c>
      <c r="F26" s="118">
        <f>F25*0.1314</f>
        <v>12628.53595944</v>
      </c>
      <c r="G26" s="118"/>
      <c r="H26" s="118"/>
      <c r="I26" s="143" t="s">
        <v>168</v>
      </c>
    </row>
    <row r="27" spans="1:9" ht="20.25" customHeight="1">
      <c r="A27" s="139"/>
      <c r="B27" s="91"/>
      <c r="C27" s="100" t="s">
        <v>41</v>
      </c>
      <c r="D27" s="100" t="s">
        <v>164</v>
      </c>
      <c r="E27" s="118">
        <f>E24*0.0475</f>
        <v>131734.98000000001</v>
      </c>
      <c r="F27" s="118">
        <f>F24*0.0475</f>
        <v>126984.98</v>
      </c>
      <c r="G27" s="118"/>
      <c r="H27" s="118"/>
      <c r="I27" s="143" t="s">
        <v>168</v>
      </c>
    </row>
    <row r="28" spans="1:9" ht="20.25" customHeight="1">
      <c r="A28" s="139"/>
      <c r="B28" s="91"/>
      <c r="C28" s="100" t="s">
        <v>43</v>
      </c>
      <c r="D28" s="100" t="s">
        <v>136</v>
      </c>
      <c r="E28" s="118">
        <f>E24*0.0165</f>
        <v>45760.572</v>
      </c>
      <c r="F28" s="118">
        <f>F24*0.0165</f>
        <v>44110.572</v>
      </c>
      <c r="G28" s="118"/>
      <c r="H28" s="118"/>
      <c r="I28" s="143" t="s">
        <v>45</v>
      </c>
    </row>
    <row r="29" spans="1:9" ht="20.25" customHeight="1">
      <c r="A29" s="139"/>
      <c r="B29" s="91"/>
      <c r="C29" s="100" t="s">
        <v>46</v>
      </c>
      <c r="D29" s="100" t="s">
        <v>47</v>
      </c>
      <c r="E29" s="118">
        <f>E24*0.0156</f>
        <v>43264.540799999995</v>
      </c>
      <c r="F29" s="118">
        <f>F24*0.0156</f>
        <v>41704.540799999995</v>
      </c>
      <c r="G29" s="118"/>
      <c r="H29" s="118"/>
      <c r="I29" s="143" t="s">
        <v>137</v>
      </c>
    </row>
    <row r="30" spans="1:9" ht="20.25" customHeight="1">
      <c r="A30" s="139"/>
      <c r="B30" s="91"/>
      <c r="C30" s="100" t="s">
        <v>49</v>
      </c>
      <c r="D30" s="100" t="s">
        <v>50</v>
      </c>
      <c r="E30" s="118">
        <f>E24*0.005</f>
        <v>13866.84</v>
      </c>
      <c r="F30" s="118">
        <f>F24*0.005</f>
        <v>13366.84</v>
      </c>
      <c r="G30" s="118"/>
      <c r="H30" s="118"/>
      <c r="I30" s="144"/>
    </row>
    <row r="31" spans="1:9" ht="20.25" customHeight="1">
      <c r="A31" s="139"/>
      <c r="B31" s="91"/>
      <c r="C31" s="100" t="s">
        <v>51</v>
      </c>
      <c r="D31" s="100" t="s">
        <v>167</v>
      </c>
      <c r="E31" s="118">
        <f>E24*0.0009</f>
        <v>2496.0311999999999</v>
      </c>
      <c r="F31" s="118">
        <f>F24*0.0009</f>
        <v>2406.0311999999999</v>
      </c>
      <c r="G31" s="118"/>
      <c r="H31" s="118"/>
      <c r="I31" s="143" t="s">
        <v>53</v>
      </c>
    </row>
    <row r="32" spans="1:9" ht="20.25" customHeight="1">
      <c r="A32" s="139"/>
      <c r="B32" s="93"/>
      <c r="C32" s="100" t="s">
        <v>54</v>
      </c>
      <c r="D32" s="100" t="s">
        <v>55</v>
      </c>
      <c r="E32" s="119"/>
      <c r="F32" s="119"/>
      <c r="G32" s="119"/>
      <c r="H32" s="119"/>
      <c r="I32" s="143" t="s">
        <v>56</v>
      </c>
    </row>
    <row r="33" spans="1:10" ht="20.25" customHeight="1">
      <c r="A33" s="141"/>
      <c r="B33" s="97" t="s">
        <v>22</v>
      </c>
      <c r="C33" s="98"/>
      <c r="D33" s="99"/>
      <c r="E33" s="120">
        <f>SUM(E25:E32)</f>
        <v>349926.46255944012</v>
      </c>
      <c r="F33" s="120">
        <f>SUM(F25:F32)</f>
        <v>337309.07955944008</v>
      </c>
      <c r="G33" s="120">
        <f>SUM(G25:G32)</f>
        <v>0</v>
      </c>
      <c r="H33" s="120">
        <f>SUM(H25:H32)</f>
        <v>0</v>
      </c>
      <c r="I33" s="142"/>
    </row>
    <row r="34" spans="1:10" ht="20.25" customHeight="1">
      <c r="A34" s="145" t="s">
        <v>57</v>
      </c>
      <c r="B34" s="98"/>
      <c r="C34" s="99"/>
      <c r="D34" s="101"/>
      <c r="E34" s="120">
        <f>E24+E33</f>
        <v>3123294.4625594402</v>
      </c>
      <c r="F34" s="120">
        <f>F24+F33</f>
        <v>3010677.0795594403</v>
      </c>
      <c r="G34" s="120">
        <f>G24+G33</f>
        <v>1606656</v>
      </c>
      <c r="H34" s="120">
        <f>H24+H33</f>
        <v>1800000</v>
      </c>
      <c r="I34" s="142"/>
    </row>
    <row r="35" spans="1:10" ht="20.25" customHeight="1">
      <c r="A35" s="136"/>
      <c r="B35" s="94" t="s">
        <v>59</v>
      </c>
      <c r="C35" s="96"/>
      <c r="D35" s="89" t="s">
        <v>138</v>
      </c>
      <c r="E35" s="121"/>
      <c r="F35" s="121"/>
      <c r="G35" s="121"/>
      <c r="H35" s="121"/>
      <c r="I35" s="143" t="s">
        <v>139</v>
      </c>
    </row>
    <row r="36" spans="1:10" ht="20.25" customHeight="1">
      <c r="A36" s="139"/>
      <c r="B36" s="94" t="s">
        <v>62</v>
      </c>
      <c r="C36" s="96"/>
      <c r="D36" s="89" t="s">
        <v>63</v>
      </c>
      <c r="E36" s="121"/>
      <c r="F36" s="121"/>
      <c r="G36" s="121"/>
      <c r="H36" s="121"/>
      <c r="I36" s="143" t="s">
        <v>64</v>
      </c>
    </row>
    <row r="37" spans="1:10" ht="20.25" customHeight="1">
      <c r="A37" s="139"/>
      <c r="B37" s="94" t="s">
        <v>65</v>
      </c>
      <c r="C37" s="96"/>
      <c r="D37" s="89" t="s">
        <v>66</v>
      </c>
      <c r="E37" s="122"/>
      <c r="F37" s="122"/>
      <c r="G37" s="122"/>
      <c r="H37" s="122"/>
      <c r="I37" s="143" t="s">
        <v>67</v>
      </c>
    </row>
    <row r="38" spans="1:10" ht="20.25" customHeight="1">
      <c r="A38" s="146"/>
      <c r="B38" s="94" t="s">
        <v>68</v>
      </c>
      <c r="C38" s="96"/>
      <c r="D38" s="88"/>
      <c r="E38" s="122"/>
      <c r="F38" s="122"/>
      <c r="G38" s="122"/>
      <c r="H38" s="122"/>
      <c r="I38" s="144"/>
    </row>
    <row r="39" spans="1:10" ht="20.25" hidden="1" customHeight="1">
      <c r="A39" s="145" t="s">
        <v>69</v>
      </c>
      <c r="B39" s="98"/>
      <c r="C39" s="99"/>
      <c r="D39" s="101"/>
      <c r="E39" s="120">
        <f>SUM(E35:E37)</f>
        <v>0</v>
      </c>
      <c r="F39" s="120">
        <f>SUM(F35:F37)</f>
        <v>0</v>
      </c>
      <c r="G39" s="120">
        <f>SUM(G35:G37)</f>
        <v>0</v>
      </c>
      <c r="H39" s="120">
        <f>SUM(H35:H37)</f>
        <v>0</v>
      </c>
      <c r="I39" s="142"/>
    </row>
    <row r="40" spans="1:10" ht="20.25" hidden="1" customHeight="1">
      <c r="A40" s="147"/>
      <c r="B40" s="102" t="s">
        <v>128</v>
      </c>
      <c r="C40" s="96"/>
      <c r="D40" s="88" t="s">
        <v>153</v>
      </c>
      <c r="E40" s="121"/>
      <c r="F40" s="121"/>
      <c r="G40" s="121"/>
      <c r="H40" s="121"/>
      <c r="I40" s="144" t="s">
        <v>140</v>
      </c>
    </row>
    <row r="41" spans="1:10" ht="20.25" hidden="1" customHeight="1">
      <c r="A41" s="147"/>
      <c r="B41" s="102" t="s">
        <v>141</v>
      </c>
      <c r="C41" s="96"/>
      <c r="D41" s="88" t="s">
        <v>152</v>
      </c>
      <c r="E41" s="121"/>
      <c r="F41" s="121"/>
      <c r="G41" s="121"/>
      <c r="H41" s="121"/>
      <c r="I41" s="144" t="s">
        <v>142</v>
      </c>
    </row>
    <row r="42" spans="1:10" ht="20.25" hidden="1" customHeight="1">
      <c r="A42" s="148" t="s">
        <v>143</v>
      </c>
      <c r="B42" s="103"/>
      <c r="C42" s="104"/>
      <c r="D42" s="101"/>
      <c r="E42" s="120">
        <f>SUM(E40:E41)</f>
        <v>0</v>
      </c>
      <c r="F42" s="120">
        <f>SUM(F40:F41)</f>
        <v>0</v>
      </c>
      <c r="G42" s="120">
        <f>SUM(G40:G41)</f>
        <v>0</v>
      </c>
      <c r="H42" s="120">
        <f>SUM(H40:H41)</f>
        <v>0</v>
      </c>
      <c r="I42" s="142"/>
    </row>
    <row r="43" spans="1:10" ht="20.25" customHeight="1">
      <c r="A43" s="145" t="s">
        <v>157</v>
      </c>
      <c r="B43" s="98"/>
      <c r="C43" s="99"/>
      <c r="D43" s="101"/>
      <c r="E43" s="120">
        <f>E34+E39+E42</f>
        <v>3123294.4625594402</v>
      </c>
      <c r="F43" s="120">
        <f>F34+F39+F42</f>
        <v>3010677.0795594403</v>
      </c>
      <c r="G43" s="120">
        <f>G34+G39+G42</f>
        <v>1606656</v>
      </c>
      <c r="H43" s="120">
        <f>H34+H39+H42</f>
        <v>1800000</v>
      </c>
      <c r="I43" s="142"/>
    </row>
    <row r="44" spans="1:10" ht="20.25" customHeight="1">
      <c r="A44" s="136" t="s">
        <v>71</v>
      </c>
      <c r="B44" s="94" t="s">
        <v>72</v>
      </c>
      <c r="C44" s="105"/>
      <c r="D44" s="100" t="s">
        <v>144</v>
      </c>
      <c r="E44" s="118">
        <f>E43*0.05</f>
        <v>156164.72312797201</v>
      </c>
      <c r="F44" s="118">
        <f>F43*0.05</f>
        <v>150533.85397797203</v>
      </c>
      <c r="G44" s="118">
        <f>G43*0.05</f>
        <v>80332.800000000003</v>
      </c>
      <c r="H44" s="118">
        <f>H43*0.05</f>
        <v>90000</v>
      </c>
      <c r="I44" s="143" t="s">
        <v>145</v>
      </c>
    </row>
    <row r="45" spans="1:10" ht="20.25" customHeight="1">
      <c r="A45" s="146"/>
      <c r="B45" s="94" t="s">
        <v>146</v>
      </c>
      <c r="C45" s="105"/>
      <c r="D45" s="100" t="s">
        <v>147</v>
      </c>
      <c r="E45" s="118">
        <f>(E43+E44)*0.1</f>
        <v>327945.91856874124</v>
      </c>
      <c r="F45" s="118">
        <f>(F43+F44)*0.1-69</f>
        <v>316052.09335374128</v>
      </c>
      <c r="G45" s="118">
        <f>(G43+G44)*0.1</f>
        <v>168698.88</v>
      </c>
      <c r="H45" s="118">
        <f>(H43+H44)*0.1</f>
        <v>189000</v>
      </c>
      <c r="I45" s="143" t="s">
        <v>74</v>
      </c>
    </row>
    <row r="46" spans="1:10" ht="20.25" customHeight="1">
      <c r="A46" s="145" t="s">
        <v>148</v>
      </c>
      <c r="B46" s="98"/>
      <c r="C46" s="99"/>
      <c r="D46" s="101"/>
      <c r="E46" s="120">
        <f>SUM(E44:E45)</f>
        <v>484110.64169671328</v>
      </c>
      <c r="F46" s="120">
        <f>SUM(F44:F45)</f>
        <v>466585.94733171328</v>
      </c>
      <c r="G46" s="120">
        <f>SUM(G44:G45)</f>
        <v>249031.67999999999</v>
      </c>
      <c r="H46" s="120">
        <f>SUM(H44:H45)</f>
        <v>279000</v>
      </c>
      <c r="I46" s="142"/>
      <c r="J46" s="106"/>
    </row>
    <row r="47" spans="1:10" ht="20.25" customHeight="1" thickBot="1">
      <c r="A47" s="158" t="s">
        <v>129</v>
      </c>
      <c r="B47" s="159"/>
      <c r="C47" s="160"/>
      <c r="D47" s="149"/>
      <c r="E47" s="150">
        <f>E43+E46</f>
        <v>3607405.1042561536</v>
      </c>
      <c r="F47" s="150">
        <f>F43+F46</f>
        <v>3477263.0268911533</v>
      </c>
      <c r="G47" s="150">
        <f>G43+G46</f>
        <v>1855687.6799999999</v>
      </c>
      <c r="H47" s="150">
        <f>H43+H46</f>
        <v>2079000</v>
      </c>
      <c r="I47" s="151" t="s">
        <v>149</v>
      </c>
    </row>
  </sheetData>
  <mergeCells count="8">
    <mergeCell ref="A12:C12"/>
    <mergeCell ref="A47:C47"/>
    <mergeCell ref="A1:I1"/>
    <mergeCell ref="A3:B3"/>
    <mergeCell ref="J4:J7"/>
    <mergeCell ref="A9:C9"/>
    <mergeCell ref="A10:C10"/>
    <mergeCell ref="A11:C1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4" orientation="landscape" horizontalDpi="1200" verticalDpi="1200" r:id="rId1"/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7"/>
  <sheetViews>
    <sheetView workbookViewId="0">
      <selection activeCell="C5" sqref="C5"/>
    </sheetView>
  </sheetViews>
  <sheetFormatPr defaultRowHeight="16.5"/>
  <cols>
    <col min="3" max="3" width="18" customWidth="1"/>
    <col min="4" max="4" width="27.625" customWidth="1"/>
    <col min="5" max="5" width="53.125" customWidth="1"/>
  </cols>
  <sheetData>
    <row r="1" spans="2:5" ht="17.25" thickBot="1"/>
    <row r="2" spans="2:5" ht="18" thickTop="1" thickBot="1">
      <c r="B2" s="59" t="s">
        <v>103</v>
      </c>
      <c r="C2" s="60" t="s">
        <v>104</v>
      </c>
      <c r="D2" s="60" t="s">
        <v>105</v>
      </c>
      <c r="E2" s="61" t="s">
        <v>106</v>
      </c>
    </row>
    <row r="3" spans="2:5" ht="45" customHeight="1" thickTop="1">
      <c r="B3" s="169" t="s">
        <v>107</v>
      </c>
      <c r="C3" s="171">
        <v>3296700</v>
      </c>
      <c r="D3" s="63" t="s">
        <v>108</v>
      </c>
      <c r="E3" s="173" t="s">
        <v>110</v>
      </c>
    </row>
    <row r="4" spans="2:5">
      <c r="B4" s="170"/>
      <c r="C4" s="172"/>
      <c r="D4" s="64" t="s">
        <v>109</v>
      </c>
      <c r="E4" s="174"/>
    </row>
    <row r="5" spans="2:5" ht="33">
      <c r="B5" s="65" t="s">
        <v>111</v>
      </c>
      <c r="C5" s="66">
        <v>3300</v>
      </c>
      <c r="D5" s="67" t="s">
        <v>112</v>
      </c>
      <c r="E5" s="68" t="s">
        <v>113</v>
      </c>
    </row>
    <row r="6" spans="2:5">
      <c r="B6" s="69" t="s">
        <v>114</v>
      </c>
      <c r="C6" s="66">
        <v>5295300</v>
      </c>
      <c r="D6" s="67" t="s">
        <v>115</v>
      </c>
      <c r="E6" s="68" t="s">
        <v>116</v>
      </c>
    </row>
    <row r="7" spans="2:5" ht="17.25" thickBot="1">
      <c r="B7" s="70" t="s">
        <v>117</v>
      </c>
      <c r="C7" s="71">
        <v>8595300</v>
      </c>
      <c r="D7" s="72"/>
      <c r="E7" s="73"/>
    </row>
    <row r="8" spans="2:5" ht="17.25" thickTop="1"/>
    <row r="9" spans="2:5">
      <c r="B9" s="74"/>
    </row>
    <row r="10" spans="2:5" ht="17.25" thickBot="1">
      <c r="B10" s="75" t="s">
        <v>103</v>
      </c>
      <c r="C10" s="75" t="s">
        <v>104</v>
      </c>
      <c r="D10" s="75" t="s">
        <v>118</v>
      </c>
      <c r="E10" s="75" t="s">
        <v>119</v>
      </c>
    </row>
    <row r="11" spans="2:5" ht="28.5" customHeight="1" thickTop="1">
      <c r="B11" s="175" t="s">
        <v>120</v>
      </c>
      <c r="C11" s="171">
        <v>3003000</v>
      </c>
      <c r="D11" s="63" t="s">
        <v>121</v>
      </c>
      <c r="E11" s="175" t="s">
        <v>123</v>
      </c>
    </row>
    <row r="12" spans="2:5">
      <c r="B12" s="176"/>
      <c r="C12" s="172"/>
      <c r="D12" s="64" t="s">
        <v>122</v>
      </c>
      <c r="E12" s="176"/>
    </row>
    <row r="13" spans="2:5" ht="33">
      <c r="B13" s="67" t="s">
        <v>124</v>
      </c>
      <c r="C13" s="66">
        <v>4469300</v>
      </c>
      <c r="D13" s="67" t="s">
        <v>125</v>
      </c>
      <c r="E13" s="67" t="s">
        <v>126</v>
      </c>
    </row>
    <row r="14" spans="2:5" ht="17.25" thickBot="1">
      <c r="B14" s="76" t="s">
        <v>117</v>
      </c>
      <c r="C14" s="77">
        <v>7472300</v>
      </c>
      <c r="D14" s="78"/>
      <c r="E14" s="78"/>
    </row>
    <row r="15" spans="2:5" ht="17.25" thickTop="1"/>
    <row r="17" spans="3:3">
      <c r="C17" s="62">
        <f>C7+C14</f>
        <v>16067600</v>
      </c>
    </row>
  </sheetData>
  <mergeCells count="6">
    <mergeCell ref="B3:B4"/>
    <mergeCell ref="C3:C4"/>
    <mergeCell ref="E3:E4"/>
    <mergeCell ref="B11:B12"/>
    <mergeCell ref="C11:C12"/>
    <mergeCell ref="E11:E12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"/>
  <sheetViews>
    <sheetView workbookViewId="0">
      <selection activeCell="E11" sqref="E11"/>
    </sheetView>
  </sheetViews>
  <sheetFormatPr defaultRowHeight="16.5"/>
  <cols>
    <col min="3" max="3" width="20" customWidth="1"/>
    <col min="4" max="4" width="32.75" customWidth="1"/>
    <col min="5" max="6" width="18" style="1" customWidth="1"/>
    <col min="7" max="7" width="46.625" customWidth="1"/>
    <col min="8" max="8" width="12.75" bestFit="1" customWidth="1"/>
    <col min="9" max="9" width="15.625" bestFit="1" customWidth="1"/>
  </cols>
  <sheetData>
    <row r="1" spans="1:9">
      <c r="A1" s="177" t="s">
        <v>5</v>
      </c>
      <c r="B1" s="178"/>
      <c r="C1" s="2" t="s">
        <v>91</v>
      </c>
      <c r="D1" s="2" t="s">
        <v>93</v>
      </c>
      <c r="E1" s="53" t="s">
        <v>92</v>
      </c>
      <c r="F1" s="54" t="s">
        <v>94</v>
      </c>
      <c r="G1" s="3" t="s">
        <v>95</v>
      </c>
    </row>
    <row r="2" spans="1:9">
      <c r="A2" s="4" t="s">
        <v>87</v>
      </c>
      <c r="B2" s="5">
        <v>1</v>
      </c>
      <c r="C2" s="6">
        <f>E41</f>
        <v>3126117.6556669674</v>
      </c>
      <c r="D2" s="6">
        <f>C2*B2</f>
        <v>3126117.6556669674</v>
      </c>
      <c r="E2" s="55">
        <f>D2*10%</f>
        <v>312611.76556669676</v>
      </c>
      <c r="F2" s="56">
        <f>D2+E2</f>
        <v>3438729.4212336643</v>
      </c>
      <c r="G2" s="179">
        <f>F2+F3</f>
        <v>9423152.5114384927</v>
      </c>
      <c r="H2" s="57">
        <f>G2*2</f>
        <v>18846305.022876985</v>
      </c>
      <c r="I2" s="58">
        <f>H2*12</f>
        <v>226155660.27452382</v>
      </c>
    </row>
    <row r="3" spans="1:9">
      <c r="A3" s="48" t="s">
        <v>88</v>
      </c>
      <c r="B3" s="49">
        <v>2</v>
      </c>
      <c r="C3" s="50">
        <f>F41</f>
        <v>2720192.3137294678</v>
      </c>
      <c r="D3" s="50">
        <f>C3*B3</f>
        <v>5440384.6274589356</v>
      </c>
      <c r="E3" s="55">
        <f>D3*10%</f>
        <v>544038.46274589363</v>
      </c>
      <c r="F3" s="51">
        <f>D3+E3</f>
        <v>5984423.0902048294</v>
      </c>
      <c r="G3" s="180"/>
    </row>
    <row r="4" spans="1:9">
      <c r="A4" s="48"/>
      <c r="B4" s="49"/>
      <c r="C4" s="50"/>
      <c r="D4" s="50"/>
      <c r="E4" s="51"/>
      <c r="F4" s="51"/>
      <c r="G4" s="52"/>
    </row>
    <row r="5" spans="1:9">
      <c r="A5" s="8"/>
      <c r="B5" s="8"/>
      <c r="C5" s="8"/>
      <c r="D5" s="8"/>
      <c r="E5" s="8"/>
      <c r="F5" s="8"/>
      <c r="G5" s="8"/>
    </row>
    <row r="6" spans="1:9" ht="20.25" customHeight="1">
      <c r="A6" s="33" t="s">
        <v>10</v>
      </c>
      <c r="B6" s="34"/>
      <c r="C6" s="35"/>
      <c r="D6" s="36" t="s">
        <v>11</v>
      </c>
      <c r="E6" s="36" t="s">
        <v>78</v>
      </c>
      <c r="F6" s="36" t="s">
        <v>79</v>
      </c>
      <c r="G6" s="36" t="s">
        <v>4</v>
      </c>
    </row>
    <row r="7" spans="1:9" ht="20.25" customHeight="1">
      <c r="A7" s="12" t="s">
        <v>5</v>
      </c>
      <c r="B7" s="13"/>
      <c r="C7" s="14"/>
      <c r="D7" s="15"/>
      <c r="E7" s="37">
        <v>1</v>
      </c>
      <c r="F7" s="37">
        <v>2</v>
      </c>
      <c r="G7" s="15"/>
    </row>
    <row r="8" spans="1:9" ht="20.25" customHeight="1">
      <c r="A8" s="12" t="s">
        <v>12</v>
      </c>
      <c r="B8" s="13"/>
      <c r="C8" s="14"/>
      <c r="D8" s="17" t="s">
        <v>100</v>
      </c>
      <c r="E8" s="37">
        <v>209</v>
      </c>
      <c r="F8" s="37">
        <v>209</v>
      </c>
      <c r="G8" s="17" t="s">
        <v>13</v>
      </c>
    </row>
    <row r="9" spans="1:9" ht="20.25" customHeight="1">
      <c r="A9" s="12" t="s">
        <v>14</v>
      </c>
      <c r="B9" s="13"/>
      <c r="C9" s="14"/>
      <c r="D9" s="17" t="s">
        <v>96</v>
      </c>
      <c r="E9" s="38">
        <v>10364</v>
      </c>
      <c r="F9" s="38">
        <v>10364</v>
      </c>
      <c r="G9" s="17" t="s">
        <v>83</v>
      </c>
    </row>
    <row r="10" spans="1:9" ht="20.25" customHeight="1">
      <c r="A10" s="19" t="s">
        <v>17</v>
      </c>
      <c r="B10" s="20" t="s">
        <v>18</v>
      </c>
      <c r="C10" s="17" t="s">
        <v>19</v>
      </c>
      <c r="D10" s="15" t="s">
        <v>85</v>
      </c>
      <c r="E10" s="38">
        <v>2000000</v>
      </c>
      <c r="F10" s="38">
        <v>2000000</v>
      </c>
      <c r="G10" s="15" t="s">
        <v>84</v>
      </c>
    </row>
    <row r="11" spans="1:9" ht="20.25" customHeight="1">
      <c r="A11" s="21"/>
      <c r="B11" s="22"/>
      <c r="C11" s="17" t="s">
        <v>0</v>
      </c>
      <c r="D11" s="15"/>
      <c r="E11" s="38">
        <v>300000</v>
      </c>
      <c r="F11" s="39"/>
      <c r="G11" s="15"/>
    </row>
    <row r="12" spans="1:9" ht="20.25" customHeight="1">
      <c r="A12" s="21"/>
      <c r="B12" s="22"/>
      <c r="C12" s="17" t="s">
        <v>1</v>
      </c>
      <c r="D12" s="15"/>
      <c r="E12" s="40" t="s">
        <v>3</v>
      </c>
      <c r="F12" s="39"/>
      <c r="G12" s="15"/>
    </row>
    <row r="13" spans="1:9" ht="20.25" customHeight="1">
      <c r="A13" s="21"/>
      <c r="B13" s="22"/>
      <c r="C13" s="17" t="s">
        <v>20</v>
      </c>
      <c r="D13" s="15"/>
      <c r="E13" s="38">
        <v>0</v>
      </c>
      <c r="F13" s="38">
        <v>0</v>
      </c>
      <c r="G13" s="17" t="s">
        <v>86</v>
      </c>
    </row>
    <row r="14" spans="1:9" ht="20.25" customHeight="1">
      <c r="A14" s="21"/>
      <c r="B14" s="23"/>
      <c r="C14" s="17" t="s">
        <v>22</v>
      </c>
      <c r="D14" s="15"/>
      <c r="E14" s="38">
        <f>E10+E11</f>
        <v>2300000</v>
      </c>
      <c r="F14" s="38">
        <f>F10</f>
        <v>2000000</v>
      </c>
      <c r="G14" s="15"/>
    </row>
    <row r="15" spans="1:9" ht="20.25" customHeight="1">
      <c r="A15" s="21"/>
      <c r="B15" s="20" t="s">
        <v>23</v>
      </c>
      <c r="C15" s="17" t="s">
        <v>2</v>
      </c>
      <c r="D15" s="15"/>
      <c r="E15" s="39"/>
      <c r="F15" s="39"/>
      <c r="G15" s="15"/>
    </row>
    <row r="16" spans="1:9" ht="20.25" customHeight="1">
      <c r="A16" s="21"/>
      <c r="B16" s="22"/>
      <c r="C16" s="17" t="s">
        <v>24</v>
      </c>
      <c r="D16" s="15"/>
      <c r="E16" s="38">
        <f>E9*8*150%/12</f>
        <v>10364</v>
      </c>
      <c r="F16" s="38">
        <f>F9*8*150%/12</f>
        <v>10364</v>
      </c>
      <c r="G16" s="17" t="s">
        <v>25</v>
      </c>
    </row>
    <row r="17" spans="1:7" ht="20.25" customHeight="1">
      <c r="A17" s="21"/>
      <c r="B17" s="23"/>
      <c r="C17" s="17" t="s">
        <v>22</v>
      </c>
      <c r="D17" s="15"/>
      <c r="E17" s="38">
        <f>SUM(E15:E16)</f>
        <v>10364</v>
      </c>
      <c r="F17" s="38">
        <f>SUM(F15:F16)</f>
        <v>10364</v>
      </c>
      <c r="G17" s="15"/>
    </row>
    <row r="18" spans="1:7" ht="20.25" customHeight="1">
      <c r="A18" s="21"/>
      <c r="B18" s="12" t="s">
        <v>26</v>
      </c>
      <c r="C18" s="43"/>
      <c r="D18" s="44" t="s">
        <v>27</v>
      </c>
      <c r="E18" s="45">
        <f>E14+E17</f>
        <v>2310364</v>
      </c>
      <c r="F18" s="45">
        <f>F14+F17</f>
        <v>2010364</v>
      </c>
      <c r="G18" s="15"/>
    </row>
    <row r="19" spans="1:7" ht="20.25" customHeight="1">
      <c r="A19" s="21"/>
      <c r="B19" s="12" t="s">
        <v>28</v>
      </c>
      <c r="C19" s="14"/>
      <c r="D19" s="17" t="s">
        <v>29</v>
      </c>
      <c r="E19" s="40" t="s">
        <v>3</v>
      </c>
      <c r="F19" s="40" t="s">
        <v>3</v>
      </c>
      <c r="G19" s="17" t="s">
        <v>30</v>
      </c>
    </row>
    <row r="20" spans="1:7" ht="20.25" customHeight="1">
      <c r="A20" s="21"/>
      <c r="B20" s="12" t="s">
        <v>31</v>
      </c>
      <c r="C20" s="14"/>
      <c r="D20" s="17" t="s">
        <v>32</v>
      </c>
      <c r="E20" s="38">
        <f>E18/12</f>
        <v>192530.33333333334</v>
      </c>
      <c r="F20" s="38">
        <f>F18/12</f>
        <v>167530.33333333334</v>
      </c>
      <c r="G20" s="17" t="s">
        <v>33</v>
      </c>
    </row>
    <row r="21" spans="1:7" ht="20.25" customHeight="1">
      <c r="A21" s="24"/>
      <c r="B21" s="25" t="s">
        <v>22</v>
      </c>
      <c r="C21" s="26"/>
      <c r="D21" s="27"/>
      <c r="E21" s="41">
        <f>E18+E20</f>
        <v>2502894.3333333335</v>
      </c>
      <c r="F21" s="41">
        <f>F18+F20</f>
        <v>2177894.3333333335</v>
      </c>
      <c r="G21" s="29"/>
    </row>
    <row r="22" spans="1:7" ht="20.25" customHeight="1">
      <c r="A22" s="19" t="s">
        <v>34</v>
      </c>
      <c r="B22" s="20" t="s">
        <v>35</v>
      </c>
      <c r="C22" s="46" t="s">
        <v>36</v>
      </c>
      <c r="D22" s="46" t="s">
        <v>37</v>
      </c>
      <c r="E22" s="47">
        <f>E18*3.335%</f>
        <v>77050.6394</v>
      </c>
      <c r="F22" s="47">
        <f>F18*3.335%</f>
        <v>67045.6394</v>
      </c>
      <c r="G22" s="17" t="s">
        <v>38</v>
      </c>
    </row>
    <row r="23" spans="1:7" ht="20.25" customHeight="1">
      <c r="A23" s="21"/>
      <c r="B23" s="22"/>
      <c r="C23" s="46" t="s">
        <v>39</v>
      </c>
      <c r="D23" s="46" t="s">
        <v>40</v>
      </c>
      <c r="E23" s="47">
        <f>E22*10.25%</f>
        <v>7897.6905384999991</v>
      </c>
      <c r="F23" s="47">
        <f>F22*10.25%</f>
        <v>6872.1780384999993</v>
      </c>
      <c r="G23" s="17" t="s">
        <v>38</v>
      </c>
    </row>
    <row r="24" spans="1:7" ht="20.25" customHeight="1">
      <c r="A24" s="21"/>
      <c r="B24" s="22"/>
      <c r="C24" s="46" t="s">
        <v>41</v>
      </c>
      <c r="D24" s="46" t="s">
        <v>42</v>
      </c>
      <c r="E24" s="47">
        <f>E18*1.5%</f>
        <v>34655.46</v>
      </c>
      <c r="F24" s="47">
        <f>F18*1.5%</f>
        <v>30155.46</v>
      </c>
      <c r="G24" s="15"/>
    </row>
    <row r="25" spans="1:7" ht="20.25" customHeight="1">
      <c r="A25" s="21"/>
      <c r="B25" s="22"/>
      <c r="C25" s="46" t="s">
        <v>43</v>
      </c>
      <c r="D25" s="46" t="s">
        <v>44</v>
      </c>
      <c r="E25" s="47">
        <f>E18*1.5%</f>
        <v>34655.46</v>
      </c>
      <c r="F25" s="47">
        <f>F18*1.5%</f>
        <v>30155.46</v>
      </c>
      <c r="G25" s="17" t="s">
        <v>45</v>
      </c>
    </row>
    <row r="26" spans="1:7" ht="20.25" customHeight="1">
      <c r="A26" s="21"/>
      <c r="B26" s="22"/>
      <c r="C26" s="17" t="s">
        <v>46</v>
      </c>
      <c r="D26" s="17" t="s">
        <v>47</v>
      </c>
      <c r="E26" s="38">
        <f>E18*1.56%</f>
        <v>36041.678400000004</v>
      </c>
      <c r="F26" s="38">
        <f>F18*1.56%</f>
        <v>31361.678400000001</v>
      </c>
      <c r="G26" s="17" t="s">
        <v>48</v>
      </c>
    </row>
    <row r="27" spans="1:7" ht="20.25" customHeight="1">
      <c r="A27" s="21"/>
      <c r="B27" s="22"/>
      <c r="C27" s="17" t="s">
        <v>49</v>
      </c>
      <c r="D27" s="17" t="s">
        <v>50</v>
      </c>
      <c r="E27" s="38">
        <f>E18*0.5%</f>
        <v>11551.82</v>
      </c>
      <c r="F27" s="38">
        <f>F18*0.5%</f>
        <v>10051.82</v>
      </c>
      <c r="G27" s="15"/>
    </row>
    <row r="28" spans="1:7" ht="20.25" customHeight="1">
      <c r="A28" s="21"/>
      <c r="B28" s="22"/>
      <c r="C28" s="17" t="s">
        <v>51</v>
      </c>
      <c r="D28" s="17" t="s">
        <v>52</v>
      </c>
      <c r="E28" s="38">
        <f>E18*0.08%</f>
        <v>1848.2912000000001</v>
      </c>
      <c r="F28" s="38">
        <f>F18*0.08%</f>
        <v>1608.2912000000001</v>
      </c>
      <c r="G28" s="17" t="s">
        <v>53</v>
      </c>
    </row>
    <row r="29" spans="1:7" ht="20.25" customHeight="1">
      <c r="A29" s="21"/>
      <c r="B29" s="23"/>
      <c r="C29" s="17" t="s">
        <v>54</v>
      </c>
      <c r="D29" s="17" t="s">
        <v>55</v>
      </c>
      <c r="E29" s="40" t="s">
        <v>3</v>
      </c>
      <c r="F29" s="40" t="s">
        <v>3</v>
      </c>
      <c r="G29" s="17" t="s">
        <v>56</v>
      </c>
    </row>
    <row r="30" spans="1:7" ht="20.25" customHeight="1">
      <c r="A30" s="24"/>
      <c r="B30" s="25" t="s">
        <v>22</v>
      </c>
      <c r="C30" s="26"/>
      <c r="D30" s="27"/>
      <c r="E30" s="41">
        <f>SUM(E22:E29)</f>
        <v>203701.03953850002</v>
      </c>
      <c r="F30" s="41">
        <f>SUM(F22:F29)</f>
        <v>177250.5270385</v>
      </c>
      <c r="G30" s="29"/>
    </row>
    <row r="31" spans="1:7" ht="20.25" customHeight="1">
      <c r="A31" s="25" t="s">
        <v>57</v>
      </c>
      <c r="B31" s="26"/>
      <c r="C31" s="27"/>
      <c r="D31" s="29"/>
      <c r="E31" s="41">
        <f>E21+E30</f>
        <v>2706595.3728718334</v>
      </c>
      <c r="F31" s="41">
        <f>F21+F30</f>
        <v>2355144.8603718337</v>
      </c>
      <c r="G31" s="29"/>
    </row>
    <row r="32" spans="1:7" ht="20.25" customHeight="1">
      <c r="A32" s="19" t="s">
        <v>58</v>
      </c>
      <c r="B32" s="12" t="s">
        <v>59</v>
      </c>
      <c r="C32" s="14"/>
      <c r="D32" s="17" t="s">
        <v>60</v>
      </c>
      <c r="E32" s="38"/>
      <c r="F32" s="38"/>
      <c r="G32" s="17" t="s">
        <v>61</v>
      </c>
    </row>
    <row r="33" spans="1:7" ht="20.25" customHeight="1">
      <c r="A33" s="21"/>
      <c r="B33" s="12" t="s">
        <v>62</v>
      </c>
      <c r="C33" s="14"/>
      <c r="D33" s="17" t="s">
        <v>63</v>
      </c>
      <c r="E33" s="38"/>
      <c r="F33" s="38"/>
      <c r="G33" s="17" t="s">
        <v>64</v>
      </c>
    </row>
    <row r="34" spans="1:7" ht="20.25" customHeight="1">
      <c r="A34" s="21"/>
      <c r="B34" s="12" t="s">
        <v>65</v>
      </c>
      <c r="C34" s="14"/>
      <c r="D34" s="17" t="s">
        <v>66</v>
      </c>
      <c r="E34" s="40" t="s">
        <v>3</v>
      </c>
      <c r="F34" s="40" t="s">
        <v>3</v>
      </c>
      <c r="G34" s="17" t="s">
        <v>67</v>
      </c>
    </row>
    <row r="35" spans="1:7" ht="20.25" customHeight="1">
      <c r="A35" s="30"/>
      <c r="B35" s="12" t="s">
        <v>68</v>
      </c>
      <c r="C35" s="14"/>
      <c r="D35" s="15"/>
      <c r="E35" s="40" t="s">
        <v>3</v>
      </c>
      <c r="F35" s="40" t="s">
        <v>3</v>
      </c>
      <c r="G35" s="15"/>
    </row>
    <row r="36" spans="1:7" ht="20.25" customHeight="1">
      <c r="A36" s="25" t="s">
        <v>69</v>
      </c>
      <c r="B36" s="26"/>
      <c r="C36" s="27"/>
      <c r="D36" s="29"/>
      <c r="E36" s="41">
        <f>E32+E33</f>
        <v>0</v>
      </c>
      <c r="F36" s="41">
        <f>F32+F33</f>
        <v>0</v>
      </c>
      <c r="G36" s="29"/>
    </row>
    <row r="37" spans="1:7" ht="20.25" customHeight="1">
      <c r="A37" s="25" t="s">
        <v>70</v>
      </c>
      <c r="B37" s="26"/>
      <c r="C37" s="27"/>
      <c r="D37" s="29"/>
      <c r="E37" s="41">
        <f>E31+E36</f>
        <v>2706595.3728718334</v>
      </c>
      <c r="F37" s="41">
        <f>F31+F36</f>
        <v>2355144.8603718337</v>
      </c>
      <c r="G37" s="29"/>
    </row>
    <row r="38" spans="1:7" ht="20.25" customHeight="1">
      <c r="A38" s="19" t="s">
        <v>71</v>
      </c>
      <c r="B38" s="12" t="s">
        <v>72</v>
      </c>
      <c r="C38" s="14"/>
      <c r="D38" s="17" t="s">
        <v>90</v>
      </c>
      <c r="E38" s="38">
        <f>E37*5%</f>
        <v>135329.76864359167</v>
      </c>
      <c r="F38" s="38">
        <f>F37*5%</f>
        <v>117757.24301859169</v>
      </c>
      <c r="G38" s="17" t="s">
        <v>73</v>
      </c>
    </row>
    <row r="39" spans="1:7" ht="20.25" customHeight="1">
      <c r="A39" s="30"/>
      <c r="B39" s="12" t="s">
        <v>82</v>
      </c>
      <c r="C39" s="14"/>
      <c r="D39" s="17" t="s">
        <v>89</v>
      </c>
      <c r="E39" s="38">
        <f>(E37+E38)*10%</f>
        <v>284192.51415154251</v>
      </c>
      <c r="F39" s="38">
        <f>(F37+F38)*10%</f>
        <v>247290.21033904256</v>
      </c>
      <c r="G39" s="17" t="s">
        <v>74</v>
      </c>
    </row>
    <row r="40" spans="1:7" ht="20.25" customHeight="1">
      <c r="A40" s="25" t="s">
        <v>75</v>
      </c>
      <c r="B40" s="26"/>
      <c r="C40" s="27"/>
      <c r="D40" s="29"/>
      <c r="E40" s="41">
        <f>E38+E39</f>
        <v>419522.28279513418</v>
      </c>
      <c r="F40" s="41">
        <f>F38+F39</f>
        <v>365047.45335763425</v>
      </c>
      <c r="G40" s="29"/>
    </row>
    <row r="41" spans="1:7" ht="20.25" customHeight="1">
      <c r="A41" s="9" t="s">
        <v>76</v>
      </c>
      <c r="B41" s="10"/>
      <c r="C41" s="11"/>
      <c r="D41" s="29"/>
      <c r="E41" s="42">
        <f>E37+E40</f>
        <v>3126117.6556669674</v>
      </c>
      <c r="F41" s="42">
        <f>F37+F40</f>
        <v>2720192.3137294678</v>
      </c>
      <c r="G41" s="32" t="s">
        <v>77</v>
      </c>
    </row>
  </sheetData>
  <mergeCells count="2">
    <mergeCell ref="A1:B1"/>
    <mergeCell ref="G2:G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topLeftCell="A4" workbookViewId="0">
      <selection activeCell="F19" sqref="F19"/>
    </sheetView>
  </sheetViews>
  <sheetFormatPr defaultRowHeight="16.5"/>
  <cols>
    <col min="3" max="3" width="20" customWidth="1"/>
    <col min="4" max="4" width="32.75" customWidth="1"/>
    <col min="5" max="6" width="18" style="1" customWidth="1"/>
    <col min="7" max="7" width="46.625" customWidth="1"/>
  </cols>
  <sheetData>
    <row r="1" spans="1:13">
      <c r="A1" s="2" t="s">
        <v>4</v>
      </c>
      <c r="B1" s="2" t="s">
        <v>5</v>
      </c>
      <c r="C1" s="2" t="s">
        <v>6</v>
      </c>
      <c r="D1" s="2" t="s">
        <v>7</v>
      </c>
      <c r="E1" s="181" t="s">
        <v>8</v>
      </c>
      <c r="F1" s="182"/>
      <c r="G1" s="3"/>
    </row>
    <row r="2" spans="1:13">
      <c r="A2" s="4" t="s">
        <v>9</v>
      </c>
      <c r="B2" s="5">
        <v>2</v>
      </c>
      <c r="C2" s="6">
        <v>5822800</v>
      </c>
      <c r="D2" s="6">
        <v>582280</v>
      </c>
      <c r="E2" s="183">
        <v>6405080</v>
      </c>
      <c r="F2" s="184"/>
      <c r="G2" s="7"/>
    </row>
    <row r="3" spans="1:13">
      <c r="A3" s="8"/>
      <c r="B3" s="8"/>
      <c r="C3" s="8"/>
      <c r="D3" s="8"/>
      <c r="E3" s="8"/>
      <c r="F3" s="8"/>
      <c r="G3" s="8"/>
    </row>
    <row r="4" spans="1:13" ht="20.25" customHeight="1">
      <c r="A4" s="33" t="s">
        <v>10</v>
      </c>
      <c r="B4" s="34"/>
      <c r="C4" s="35"/>
      <c r="D4" s="36" t="s">
        <v>11</v>
      </c>
      <c r="E4" s="36" t="s">
        <v>78</v>
      </c>
      <c r="F4" s="36" t="s">
        <v>79</v>
      </c>
      <c r="G4" s="36" t="s">
        <v>4</v>
      </c>
    </row>
    <row r="5" spans="1:13" ht="20.25" customHeight="1">
      <c r="A5" s="12" t="s">
        <v>5</v>
      </c>
      <c r="B5" s="13"/>
      <c r="C5" s="14"/>
      <c r="D5" s="15"/>
      <c r="E5" s="16">
        <v>1</v>
      </c>
      <c r="F5" s="16">
        <v>2</v>
      </c>
      <c r="G5" s="15"/>
    </row>
    <row r="6" spans="1:13" ht="20.25" customHeight="1">
      <c r="A6" s="12" t="s">
        <v>12</v>
      </c>
      <c r="B6" s="13"/>
      <c r="C6" s="14"/>
      <c r="D6" s="17" t="s">
        <v>102</v>
      </c>
      <c r="E6" s="16">
        <v>209</v>
      </c>
      <c r="F6" s="16">
        <v>209</v>
      </c>
      <c r="G6" s="17" t="s">
        <v>101</v>
      </c>
    </row>
    <row r="7" spans="1:13" ht="20.25" customHeight="1">
      <c r="A7" s="12" t="s">
        <v>14</v>
      </c>
      <c r="B7" s="13"/>
      <c r="C7" s="14"/>
      <c r="D7" s="17" t="s">
        <v>15</v>
      </c>
      <c r="E7" s="18">
        <v>9000</v>
      </c>
      <c r="F7" s="18">
        <v>9000</v>
      </c>
      <c r="G7" s="17" t="s">
        <v>16</v>
      </c>
    </row>
    <row r="8" spans="1:13" ht="20.25" customHeight="1">
      <c r="A8" s="19" t="s">
        <v>17</v>
      </c>
      <c r="B8" s="20" t="s">
        <v>18</v>
      </c>
      <c r="C8" s="17" t="s">
        <v>19</v>
      </c>
      <c r="D8" s="15"/>
      <c r="E8" s="18">
        <v>1881000</v>
      </c>
      <c r="F8" s="18">
        <v>1881000</v>
      </c>
      <c r="G8" s="15"/>
      <c r="K8" t="s">
        <v>97</v>
      </c>
      <c r="L8" t="s">
        <v>98</v>
      </c>
      <c r="M8" t="s">
        <v>99</v>
      </c>
    </row>
    <row r="9" spans="1:13" ht="20.25" customHeight="1">
      <c r="A9" s="21"/>
      <c r="B9" s="22"/>
      <c r="C9" s="17" t="s">
        <v>0</v>
      </c>
      <c r="D9" s="15"/>
      <c r="E9" s="18">
        <v>100000</v>
      </c>
      <c r="F9" s="15"/>
      <c r="G9" s="15"/>
    </row>
    <row r="10" spans="1:13" ht="20.25" customHeight="1">
      <c r="A10" s="21"/>
      <c r="B10" s="22"/>
      <c r="C10" s="17" t="s">
        <v>1</v>
      </c>
      <c r="D10" s="15"/>
      <c r="E10" s="17" t="s">
        <v>3</v>
      </c>
      <c r="F10" s="15"/>
      <c r="G10" s="15"/>
    </row>
    <row r="11" spans="1:13" ht="20.25" customHeight="1">
      <c r="A11" s="21"/>
      <c r="B11" s="22"/>
      <c r="C11" s="17" t="s">
        <v>20</v>
      </c>
      <c r="D11" s="15"/>
      <c r="E11" s="18">
        <v>0</v>
      </c>
      <c r="F11" s="18">
        <v>0</v>
      </c>
      <c r="G11" s="17" t="s">
        <v>21</v>
      </c>
    </row>
    <row r="12" spans="1:13" ht="20.25" customHeight="1">
      <c r="A12" s="21"/>
      <c r="B12" s="23"/>
      <c r="C12" s="17" t="s">
        <v>22</v>
      </c>
      <c r="D12" s="15"/>
      <c r="E12" s="18">
        <f>E8+E9</f>
        <v>1981000</v>
      </c>
      <c r="F12" s="18">
        <f>F8+F9</f>
        <v>1881000</v>
      </c>
      <c r="G12" s="15"/>
    </row>
    <row r="13" spans="1:13" ht="20.25" customHeight="1">
      <c r="A13" s="21"/>
      <c r="B13" s="20" t="s">
        <v>23</v>
      </c>
      <c r="C13" s="17" t="s">
        <v>2</v>
      </c>
      <c r="D13" s="15"/>
      <c r="E13" s="15"/>
      <c r="F13" s="15"/>
      <c r="G13" s="15"/>
    </row>
    <row r="14" spans="1:13" ht="20.25" customHeight="1">
      <c r="A14" s="21"/>
      <c r="B14" s="22"/>
      <c r="C14" s="17" t="s">
        <v>24</v>
      </c>
      <c r="D14" s="15"/>
      <c r="E14" s="18">
        <v>9000</v>
      </c>
      <c r="F14" s="18">
        <v>9000</v>
      </c>
      <c r="G14" s="17" t="s">
        <v>25</v>
      </c>
    </row>
    <row r="15" spans="1:13" ht="20.25" customHeight="1">
      <c r="A15" s="21"/>
      <c r="B15" s="23"/>
      <c r="C15" s="17" t="s">
        <v>22</v>
      </c>
      <c r="D15" s="15"/>
      <c r="E15" s="18">
        <v>9000</v>
      </c>
      <c r="F15" s="18">
        <v>9000</v>
      </c>
      <c r="G15" s="15"/>
    </row>
    <row r="16" spans="1:13" ht="20.25" customHeight="1">
      <c r="A16" s="21"/>
      <c r="B16" s="12" t="s">
        <v>26</v>
      </c>
      <c r="C16" s="14"/>
      <c r="D16" s="17" t="s">
        <v>27</v>
      </c>
      <c r="E16" s="18">
        <f>E12+E15</f>
        <v>1990000</v>
      </c>
      <c r="F16" s="18">
        <f>F12+F15</f>
        <v>1890000</v>
      </c>
      <c r="G16" s="15"/>
    </row>
    <row r="17" spans="1:8" ht="20.25" customHeight="1">
      <c r="A17" s="21"/>
      <c r="B17" s="12" t="s">
        <v>28</v>
      </c>
      <c r="C17" s="14"/>
      <c r="D17" s="17" t="s">
        <v>29</v>
      </c>
      <c r="E17" s="17" t="s">
        <v>3</v>
      </c>
      <c r="F17" s="17" t="s">
        <v>3</v>
      </c>
      <c r="G17" s="17" t="s">
        <v>30</v>
      </c>
    </row>
    <row r="18" spans="1:8" ht="20.25" customHeight="1">
      <c r="A18" s="21"/>
      <c r="B18" s="12" t="s">
        <v>31</v>
      </c>
      <c r="C18" s="14"/>
      <c r="D18" s="17" t="s">
        <v>32</v>
      </c>
      <c r="E18" s="18">
        <f>E16/12</f>
        <v>165833.33333333334</v>
      </c>
      <c r="F18" s="18">
        <f>F16/12</f>
        <v>157500</v>
      </c>
      <c r="G18" s="17" t="s">
        <v>33</v>
      </c>
    </row>
    <row r="19" spans="1:8" ht="20.25" customHeight="1">
      <c r="A19" s="24"/>
      <c r="B19" s="25" t="s">
        <v>22</v>
      </c>
      <c r="C19" s="26"/>
      <c r="D19" s="27"/>
      <c r="E19" s="28">
        <f>E16+E18</f>
        <v>2155833.3333333335</v>
      </c>
      <c r="F19" s="28">
        <f>F16+F18</f>
        <v>2047500</v>
      </c>
      <c r="G19" s="29"/>
    </row>
    <row r="20" spans="1:8" ht="20.25" customHeight="1">
      <c r="A20" s="19" t="s">
        <v>34</v>
      </c>
      <c r="B20" s="20" t="s">
        <v>35</v>
      </c>
      <c r="C20" s="17" t="s">
        <v>36</v>
      </c>
      <c r="D20" s="17" t="s">
        <v>37</v>
      </c>
      <c r="E20" s="18">
        <v>76900</v>
      </c>
      <c r="F20" s="18">
        <v>73500</v>
      </c>
      <c r="G20" s="17" t="s">
        <v>38</v>
      </c>
      <c r="H20">
        <f>E16*3.335%</f>
        <v>66366.5</v>
      </c>
    </row>
    <row r="21" spans="1:8" ht="20.25" customHeight="1">
      <c r="A21" s="21"/>
      <c r="B21" s="22"/>
      <c r="C21" s="17" t="s">
        <v>39</v>
      </c>
      <c r="D21" s="17" t="s">
        <v>40</v>
      </c>
      <c r="E21" s="18">
        <v>7900</v>
      </c>
      <c r="F21" s="18">
        <v>7600</v>
      </c>
      <c r="G21" s="17" t="s">
        <v>38</v>
      </c>
    </row>
    <row r="22" spans="1:8" ht="20.25" customHeight="1">
      <c r="A22" s="21"/>
      <c r="B22" s="22"/>
      <c r="C22" s="17" t="s">
        <v>41</v>
      </c>
      <c r="D22" s="17" t="s">
        <v>42</v>
      </c>
      <c r="E22" s="18">
        <v>103700</v>
      </c>
      <c r="F22" s="18">
        <v>99200</v>
      </c>
      <c r="G22" s="15"/>
    </row>
    <row r="23" spans="1:8" ht="20.25" customHeight="1">
      <c r="A23" s="21"/>
      <c r="B23" s="22"/>
      <c r="C23" s="17" t="s">
        <v>43</v>
      </c>
      <c r="D23" s="17" t="s">
        <v>44</v>
      </c>
      <c r="E23" s="18">
        <v>34600</v>
      </c>
      <c r="F23" s="18">
        <v>33100</v>
      </c>
      <c r="G23" s="17" t="s">
        <v>45</v>
      </c>
    </row>
    <row r="24" spans="1:8" ht="20.25" customHeight="1">
      <c r="A24" s="21"/>
      <c r="B24" s="22"/>
      <c r="C24" s="17" t="s">
        <v>46</v>
      </c>
      <c r="D24" s="17" t="s">
        <v>47</v>
      </c>
      <c r="E24" s="18">
        <v>36000</v>
      </c>
      <c r="F24" s="18">
        <v>34400</v>
      </c>
      <c r="G24" s="17" t="s">
        <v>48</v>
      </c>
    </row>
    <row r="25" spans="1:8" ht="20.25" customHeight="1">
      <c r="A25" s="21"/>
      <c r="B25" s="22"/>
      <c r="C25" s="17" t="s">
        <v>49</v>
      </c>
      <c r="D25" s="17" t="s">
        <v>50</v>
      </c>
      <c r="E25" s="18">
        <v>11600</v>
      </c>
      <c r="F25" s="18">
        <v>11100</v>
      </c>
      <c r="G25" s="15"/>
    </row>
    <row r="26" spans="1:8" ht="20.25" customHeight="1">
      <c r="A26" s="21"/>
      <c r="B26" s="22"/>
      <c r="C26" s="17" t="s">
        <v>51</v>
      </c>
      <c r="D26" s="17" t="s">
        <v>52</v>
      </c>
      <c r="E26" s="18">
        <v>1900</v>
      </c>
      <c r="F26" s="18">
        <v>1800</v>
      </c>
      <c r="G26" s="17" t="s">
        <v>53</v>
      </c>
    </row>
    <row r="27" spans="1:8" ht="20.25" customHeight="1">
      <c r="A27" s="21"/>
      <c r="B27" s="23"/>
      <c r="C27" s="17" t="s">
        <v>54</v>
      </c>
      <c r="D27" s="17" t="s">
        <v>55</v>
      </c>
      <c r="E27" s="17" t="s">
        <v>3</v>
      </c>
      <c r="F27" s="17" t="s">
        <v>3</v>
      </c>
      <c r="G27" s="17" t="s">
        <v>56</v>
      </c>
    </row>
    <row r="28" spans="1:8" ht="20.25" customHeight="1">
      <c r="A28" s="24"/>
      <c r="B28" s="25" t="s">
        <v>22</v>
      </c>
      <c r="C28" s="26"/>
      <c r="D28" s="27"/>
      <c r="E28" s="28">
        <v>272600</v>
      </c>
      <c r="F28" s="28">
        <v>260700</v>
      </c>
      <c r="G28" s="29"/>
    </row>
    <row r="29" spans="1:8" ht="20.25" customHeight="1">
      <c r="A29" s="25" t="s">
        <v>57</v>
      </c>
      <c r="B29" s="26"/>
      <c r="C29" s="27"/>
      <c r="D29" s="29"/>
      <c r="E29" s="28">
        <v>2768058</v>
      </c>
      <c r="F29" s="28">
        <v>2647825</v>
      </c>
      <c r="G29" s="29"/>
    </row>
    <row r="30" spans="1:8" ht="20.25" customHeight="1">
      <c r="A30" s="19" t="s">
        <v>58</v>
      </c>
      <c r="B30" s="12" t="s">
        <v>59</v>
      </c>
      <c r="C30" s="14"/>
      <c r="D30" s="17" t="s">
        <v>60</v>
      </c>
      <c r="E30" s="18">
        <v>5000</v>
      </c>
      <c r="F30" s="18">
        <v>5000</v>
      </c>
      <c r="G30" s="17" t="s">
        <v>61</v>
      </c>
    </row>
    <row r="31" spans="1:8" ht="20.25" customHeight="1">
      <c r="A31" s="21"/>
      <c r="B31" s="12" t="s">
        <v>62</v>
      </c>
      <c r="C31" s="14"/>
      <c r="D31" s="17" t="s">
        <v>63</v>
      </c>
      <c r="E31" s="18">
        <v>5000</v>
      </c>
      <c r="F31" s="18">
        <v>5000</v>
      </c>
      <c r="G31" s="17" t="s">
        <v>64</v>
      </c>
    </row>
    <row r="32" spans="1:8" ht="20.25" customHeight="1">
      <c r="A32" s="21"/>
      <c r="B32" s="12" t="s">
        <v>65</v>
      </c>
      <c r="C32" s="14"/>
      <c r="D32" s="17" t="s">
        <v>66</v>
      </c>
      <c r="E32" s="17" t="s">
        <v>3</v>
      </c>
      <c r="F32" s="17" t="s">
        <v>3</v>
      </c>
      <c r="G32" s="17" t="s">
        <v>67</v>
      </c>
    </row>
    <row r="33" spans="1:7" ht="20.25" customHeight="1">
      <c r="A33" s="30"/>
      <c r="B33" s="12" t="s">
        <v>68</v>
      </c>
      <c r="C33" s="14"/>
      <c r="D33" s="15"/>
      <c r="E33" s="17" t="s">
        <v>3</v>
      </c>
      <c r="F33" s="17" t="s">
        <v>3</v>
      </c>
      <c r="G33" s="15"/>
    </row>
    <row r="34" spans="1:7" ht="20.25" customHeight="1">
      <c r="A34" s="25" t="s">
        <v>69</v>
      </c>
      <c r="B34" s="26"/>
      <c r="C34" s="27"/>
      <c r="D34" s="29"/>
      <c r="E34" s="28">
        <v>10000</v>
      </c>
      <c r="F34" s="28">
        <v>10000</v>
      </c>
      <c r="G34" s="29"/>
    </row>
    <row r="35" spans="1:7" ht="20.25" customHeight="1">
      <c r="A35" s="25" t="s">
        <v>70</v>
      </c>
      <c r="B35" s="26"/>
      <c r="C35" s="27"/>
      <c r="D35" s="29"/>
      <c r="E35" s="28">
        <v>2778058</v>
      </c>
      <c r="F35" s="28">
        <v>2657825</v>
      </c>
      <c r="G35" s="29"/>
    </row>
    <row r="36" spans="1:7" ht="20.25" customHeight="1">
      <c r="A36" s="19" t="s">
        <v>71</v>
      </c>
      <c r="B36" s="12" t="s">
        <v>72</v>
      </c>
      <c r="C36" s="14"/>
      <c r="D36" s="17" t="s">
        <v>80</v>
      </c>
      <c r="E36" s="18">
        <v>111122</v>
      </c>
      <c r="F36" s="18">
        <v>106313</v>
      </c>
      <c r="G36" s="17" t="s">
        <v>73</v>
      </c>
    </row>
    <row r="37" spans="1:7" ht="20.25" customHeight="1">
      <c r="A37" s="30"/>
      <c r="B37" s="12" t="s">
        <v>82</v>
      </c>
      <c r="C37" s="14"/>
      <c r="D37" s="17" t="s">
        <v>81</v>
      </c>
      <c r="E37" s="18">
        <v>86675</v>
      </c>
      <c r="F37" s="18">
        <v>82924</v>
      </c>
      <c r="G37" s="17" t="s">
        <v>74</v>
      </c>
    </row>
    <row r="38" spans="1:7" ht="20.25" customHeight="1">
      <c r="A38" s="25" t="s">
        <v>75</v>
      </c>
      <c r="B38" s="26"/>
      <c r="C38" s="27"/>
      <c r="D38" s="29"/>
      <c r="E38" s="28">
        <v>197798</v>
      </c>
      <c r="F38" s="28">
        <v>189237</v>
      </c>
      <c r="G38" s="29"/>
    </row>
    <row r="39" spans="1:7" ht="20.25" customHeight="1">
      <c r="A39" s="9" t="s">
        <v>76</v>
      </c>
      <c r="B39" s="10"/>
      <c r="C39" s="11"/>
      <c r="D39" s="29"/>
      <c r="E39" s="31">
        <v>2975800</v>
      </c>
      <c r="F39" s="31">
        <v>2847000</v>
      </c>
      <c r="G39" s="32" t="s">
        <v>77</v>
      </c>
    </row>
  </sheetData>
  <mergeCells count="2">
    <mergeCell ref="E1:F1"/>
    <mergeCell ref="E2:F2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2"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1</vt:i4>
      </vt:variant>
    </vt:vector>
  </HeadingPairs>
  <TitlesOfParts>
    <vt:vector size="6" baseType="lpstr">
      <vt:lpstr>2026년 산출내역서(2명)</vt:lpstr>
      <vt:lpstr>Sheet2</vt:lpstr>
      <vt:lpstr>요령안 기본급200</vt:lpstr>
      <vt:lpstr>최저시급</vt:lpstr>
      <vt:lpstr>Sheet3</vt:lpstr>
      <vt:lpstr>'2026년 산출내역서(2명)'!Print_Area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USER</cp:lastModifiedBy>
  <cp:lastPrinted>2026-05-06T07:05:26Z</cp:lastPrinted>
  <dcterms:created xsi:type="dcterms:W3CDTF">2019-01-20T14:23:06Z</dcterms:created>
  <dcterms:modified xsi:type="dcterms:W3CDTF">2026-05-06T07:52:02Z</dcterms:modified>
</cp:coreProperties>
</file>